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614"/>
  <workbookPr hidePivotFieldList="1" defaultThemeVersion="124226"/>
  <mc:AlternateContent xmlns:mc="http://schemas.openxmlformats.org/markup-compatibility/2006">
    <mc:Choice Requires="x15">
      <x15ac:absPath xmlns:x15ac="http://schemas.microsoft.com/office/spreadsheetml/2010/11/ac" url="/Users/npiscitani/Desktop/"/>
    </mc:Choice>
  </mc:AlternateContent>
  <xr:revisionPtr revIDLastSave="0" documentId="8_{D3B83952-010C-FA49-ADD3-BBB0C6740443}" xr6:coauthVersionLast="45" xr6:coauthVersionMax="45" xr10:uidLastSave="{00000000-0000-0000-0000-000000000000}"/>
  <bookViews>
    <workbookView xWindow="4920" yWindow="5300" windowWidth="20720" windowHeight="13280" xr2:uid="{00000000-000D-0000-FFFF-FFFF00000000}"/>
  </bookViews>
  <sheets>
    <sheet name="Notes and Methodology" sheetId="8" r:id="rId1"/>
    <sheet name="Summary of Distribution" sheetId="3" r:id="rId2"/>
    <sheet name="Distribution Detail" sheetId="2" r:id="rId3"/>
    <sheet name="Revised Transportation" sheetId="5" state="hidden" r:id="rId4"/>
    <sheet name="CBDD Enrollment" sheetId="4" state="hidden" r:id="rId5"/>
    <sheet name="New CS and Island" sheetId="7" state="hidden" r:id="rId6"/>
    <sheet name="NonPublic Enrollment" sheetId="6" state="hidden" r:id="rId7"/>
  </sheets>
  <definedNames>
    <definedName name="_xlnm._FilterDatabase" localSheetId="2" hidden="1">'Distribution Detail'!$A$2:$P$1729</definedName>
    <definedName name="_Hlk43392236" localSheetId="0">'Notes and Methodology'!#REF!</definedName>
    <definedName name="Data">#REF!</definedName>
  </definedNames>
  <calcPr calcId="191029"/>
  <pivotCaches>
    <pivotCache cacheId="1"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66" i="2" l="1"/>
  <c r="O324" i="2"/>
  <c r="O549" i="2"/>
  <c r="O697" i="2"/>
  <c r="O861" i="2"/>
  <c r="O1079" i="2"/>
  <c r="O1080" i="2"/>
  <c r="O1136" i="2"/>
  <c r="O1168" i="2"/>
  <c r="O1384" i="2"/>
  <c r="O1512" i="2"/>
  <c r="O1624" i="2"/>
  <c r="O1643" i="2"/>
  <c r="O15" i="2"/>
  <c r="O27" i="2"/>
  <c r="O31" i="2"/>
  <c r="O95" i="2"/>
  <c r="O98" i="2"/>
  <c r="O103" i="2"/>
  <c r="O111" i="2"/>
  <c r="O112" i="2"/>
  <c r="O124" i="2"/>
  <c r="O137" i="2"/>
  <c r="O181" i="2"/>
  <c r="O187" i="2"/>
  <c r="O203" i="2"/>
  <c r="O204" i="2"/>
  <c r="O212" i="2"/>
  <c r="O219" i="2"/>
  <c r="O223" i="2"/>
  <c r="O224" i="2"/>
  <c r="O225" i="2"/>
  <c r="O226" i="2"/>
  <c r="O227" i="2"/>
  <c r="O228" i="2"/>
  <c r="O231" i="2"/>
  <c r="O235" i="2"/>
  <c r="O237" i="2"/>
  <c r="O238" i="2"/>
  <c r="O239" i="2"/>
  <c r="O240" i="2"/>
  <c r="O241" i="2"/>
  <c r="O242" i="2"/>
  <c r="O243" i="2"/>
  <c r="O244" i="2"/>
  <c r="O245" i="2"/>
  <c r="O246" i="2"/>
  <c r="O247" i="2"/>
  <c r="O248" i="2"/>
  <c r="O253" i="2"/>
  <c r="O255" i="2"/>
  <c r="O258" i="2"/>
  <c r="O260" i="2"/>
  <c r="O265" i="2"/>
  <c r="O266" i="2"/>
  <c r="O267" i="2"/>
  <c r="O270" i="2"/>
  <c r="O278" i="2"/>
  <c r="O279" i="2"/>
  <c r="O280" i="2"/>
  <c r="O281" i="2"/>
  <c r="O282" i="2"/>
  <c r="O283" i="2"/>
  <c r="O287" i="2"/>
  <c r="O288" i="2"/>
  <c r="O292" i="2"/>
  <c r="O293" i="2"/>
  <c r="O294" i="2"/>
  <c r="O305" i="2"/>
  <c r="O313" i="2"/>
  <c r="O318" i="2"/>
  <c r="O319" i="2"/>
  <c r="O322" i="2"/>
  <c r="O323" i="2"/>
  <c r="O325" i="2"/>
  <c r="O328" i="2"/>
  <c r="O335" i="2"/>
  <c r="O337" i="2"/>
  <c r="O339" i="2"/>
  <c r="O341" i="2"/>
  <c r="O351" i="2"/>
  <c r="O394" i="2"/>
  <c r="O396" i="2"/>
  <c r="O399" i="2"/>
  <c r="O400" i="2"/>
  <c r="O406" i="2"/>
  <c r="O409" i="2"/>
  <c r="O410" i="2"/>
  <c r="O411" i="2"/>
  <c r="O413" i="2"/>
  <c r="O414" i="2"/>
  <c r="O415" i="2"/>
  <c r="O418" i="2"/>
  <c r="O461" i="2"/>
  <c r="O467" i="2"/>
  <c r="O486" i="2"/>
  <c r="O487" i="2"/>
  <c r="O489" i="2"/>
  <c r="O496" i="2"/>
  <c r="O499" i="2"/>
  <c r="O500" i="2"/>
  <c r="O502" i="2"/>
  <c r="O503" i="2"/>
  <c r="O504" i="2"/>
  <c r="O509" i="2"/>
  <c r="O510" i="2"/>
  <c r="O512" i="2"/>
  <c r="O513" i="2"/>
  <c r="O514" i="2"/>
  <c r="O517" i="2"/>
  <c r="O518" i="2"/>
  <c r="O519" i="2"/>
  <c r="O522" i="2"/>
  <c r="O527" i="2"/>
  <c r="O528" i="2"/>
  <c r="O529" i="2"/>
  <c r="O532" i="2"/>
  <c r="O533" i="2"/>
  <c r="O534" i="2"/>
  <c r="O535" i="2"/>
  <c r="O536" i="2"/>
  <c r="O537" i="2"/>
  <c r="O538" i="2"/>
  <c r="O546" i="2"/>
  <c r="O547" i="2"/>
  <c r="O550" i="2"/>
  <c r="O552" i="2"/>
  <c r="O561" i="2"/>
  <c r="O562" i="2"/>
  <c r="O563" i="2"/>
  <c r="O564" i="2"/>
  <c r="O565" i="2"/>
  <c r="O567" i="2"/>
  <c r="O572" i="2"/>
  <c r="O573" i="2"/>
  <c r="O574" i="2"/>
  <c r="O575" i="2"/>
  <c r="O580" i="2"/>
  <c r="O583" i="2"/>
  <c r="O584" i="2"/>
  <c r="O587" i="2"/>
  <c r="O588" i="2"/>
  <c r="O589" i="2"/>
  <c r="O592" i="2"/>
  <c r="O593" i="2"/>
  <c r="O598" i="2"/>
  <c r="O599" i="2"/>
  <c r="O600" i="2"/>
  <c r="O602" i="2"/>
  <c r="O607" i="2"/>
  <c r="O608" i="2"/>
  <c r="O630" i="2"/>
  <c r="O631" i="2"/>
  <c r="O632" i="2"/>
  <c r="O633" i="2"/>
  <c r="O635" i="2"/>
  <c r="O644" i="2"/>
  <c r="O645" i="2"/>
  <c r="O648" i="2"/>
  <c r="O649" i="2"/>
  <c r="O651" i="2"/>
  <c r="O657" i="2"/>
  <c r="O658" i="2"/>
  <c r="O659" i="2"/>
  <c r="O660" i="2"/>
  <c r="O703" i="2"/>
  <c r="O710" i="2"/>
  <c r="O711" i="2"/>
  <c r="O715" i="2"/>
  <c r="O727" i="2"/>
  <c r="O735" i="2"/>
  <c r="O740" i="2"/>
  <c r="O743" i="2"/>
  <c r="O749" i="2"/>
  <c r="O755" i="2"/>
  <c r="O760" i="2"/>
  <c r="O762" i="2"/>
  <c r="O773" i="2"/>
  <c r="O776" i="2"/>
  <c r="O783" i="2"/>
  <c r="O788" i="2"/>
  <c r="O793" i="2"/>
  <c r="O795" i="2"/>
  <c r="O803" i="2"/>
  <c r="O840" i="2"/>
  <c r="O842" i="2"/>
  <c r="O845" i="2"/>
  <c r="O852" i="2"/>
  <c r="O872" i="2"/>
  <c r="O880" i="2"/>
  <c r="O961" i="2"/>
  <c r="O993" i="2"/>
  <c r="O1009" i="2"/>
  <c r="O1010" i="2"/>
  <c r="O1011" i="2"/>
  <c r="O1017" i="2"/>
  <c r="O1021" i="2"/>
  <c r="O1022" i="2"/>
  <c r="O1026" i="2"/>
  <c r="O1042" i="2"/>
  <c r="O1043" i="2"/>
  <c r="O1046" i="2"/>
  <c r="O1047" i="2"/>
  <c r="O1049" i="2"/>
  <c r="O1050" i="2"/>
  <c r="O1054" i="2"/>
  <c r="O1057" i="2"/>
  <c r="O1060" i="2"/>
  <c r="O1063" i="2"/>
  <c r="O1064" i="2"/>
  <c r="O1065" i="2"/>
  <c r="O1066" i="2"/>
  <c r="O1067" i="2"/>
  <c r="O1068" i="2"/>
  <c r="O1069" i="2"/>
  <c r="O1070" i="2"/>
  <c r="O1072" i="2"/>
  <c r="O1073" i="2"/>
  <c r="O1074" i="2"/>
  <c r="O1085" i="2"/>
  <c r="O1096" i="2"/>
  <c r="O1097" i="2"/>
  <c r="O1099" i="2"/>
  <c r="O1105" i="2"/>
  <c r="O1106" i="2"/>
  <c r="O1110" i="2"/>
  <c r="O1111" i="2"/>
  <c r="O1119" i="2"/>
  <c r="O1129" i="2"/>
  <c r="O1135" i="2"/>
  <c r="O1141" i="2"/>
  <c r="O1147" i="2"/>
  <c r="O1149" i="2"/>
  <c r="O1150" i="2"/>
  <c r="O1158" i="2"/>
  <c r="O1160" i="2"/>
  <c r="O1163" i="2"/>
  <c r="O1226" i="2"/>
  <c r="O1229" i="2"/>
  <c r="O1232" i="2"/>
  <c r="O1233" i="2"/>
  <c r="O1236" i="2"/>
  <c r="O1237" i="2"/>
  <c r="O1240" i="2"/>
  <c r="O1244" i="2"/>
  <c r="O1245" i="2"/>
  <c r="O1246" i="2"/>
  <c r="O1252" i="2"/>
  <c r="O1253" i="2"/>
  <c r="O1254" i="2"/>
  <c r="O1256" i="2"/>
  <c r="O1261" i="2"/>
  <c r="O1265" i="2"/>
  <c r="O1270" i="2"/>
  <c r="O1271" i="2"/>
  <c r="O1281" i="2"/>
  <c r="O1282" i="2"/>
  <c r="O1285" i="2"/>
  <c r="O1287" i="2"/>
  <c r="O1297" i="2"/>
  <c r="O1301" i="2"/>
  <c r="O1302" i="2"/>
  <c r="O1310" i="2"/>
  <c r="O1383" i="2"/>
  <c r="O1385" i="2"/>
  <c r="O1401" i="2"/>
  <c r="O1435" i="2"/>
  <c r="O1439" i="2"/>
  <c r="O1444" i="2"/>
  <c r="O1461" i="2"/>
  <c r="O1463" i="2"/>
  <c r="O1465" i="2"/>
  <c r="O1470" i="2"/>
  <c r="O1501" i="2"/>
  <c r="O1503" i="2"/>
  <c r="O1504" i="2"/>
  <c r="O1510" i="2"/>
  <c r="O1511" i="2"/>
  <c r="O1523" i="2"/>
  <c r="O1526" i="2"/>
  <c r="O1531" i="2"/>
  <c r="O1532" i="2"/>
  <c r="O1538" i="2"/>
  <c r="O1539" i="2"/>
  <c r="O1542" i="2"/>
  <c r="O1552" i="2"/>
  <c r="O1567" i="2"/>
  <c r="O1568" i="2"/>
  <c r="O1570" i="2"/>
  <c r="O1571" i="2"/>
  <c r="O1572" i="2"/>
  <c r="O1577" i="2"/>
  <c r="O1588" i="2"/>
  <c r="O1603" i="2"/>
  <c r="O1606" i="2"/>
  <c r="O1607" i="2"/>
  <c r="O1608" i="2"/>
  <c r="O1675" i="2"/>
  <c r="O1681" i="2"/>
  <c r="O1686" i="2"/>
  <c r="O6" i="2"/>
  <c r="O30" i="2"/>
  <c r="O49" i="2"/>
  <c r="O64" i="2"/>
  <c r="O115" i="2"/>
  <c r="O143" i="2"/>
  <c r="O168" i="2"/>
  <c r="O186" i="2"/>
  <c r="O434" i="2"/>
  <c r="O473" i="2"/>
  <c r="O539" i="2"/>
  <c r="O671" i="2"/>
  <c r="O679" i="2"/>
  <c r="O750" i="2"/>
  <c r="O862" i="2"/>
  <c r="O873" i="2"/>
  <c r="O900" i="2"/>
  <c r="O904" i="2"/>
  <c r="O917" i="2"/>
  <c r="O928" i="2"/>
  <c r="O950" i="2"/>
  <c r="O971" i="2"/>
  <c r="O1024" i="2"/>
  <c r="O1134" i="2"/>
  <c r="O1177" i="2"/>
  <c r="O1186" i="2"/>
  <c r="O1214" i="2"/>
  <c r="O1306" i="2"/>
  <c r="O1341" i="2"/>
  <c r="O1352" i="2"/>
  <c r="O1409" i="2"/>
  <c r="O1419" i="2"/>
  <c r="O1433" i="2"/>
  <c r="O1446" i="2"/>
  <c r="O1500" i="2"/>
  <c r="O1610" i="2"/>
  <c r="O1627" i="2"/>
  <c r="O1672" i="2"/>
  <c r="O1692" i="2"/>
  <c r="O1723" i="2"/>
  <c r="O1729" i="2"/>
  <c r="O8" i="2"/>
  <c r="O32" i="2"/>
  <c r="O38" i="2"/>
  <c r="O53" i="2"/>
  <c r="O65" i="2"/>
  <c r="O81" i="2"/>
  <c r="O84" i="2"/>
  <c r="O138" i="2"/>
  <c r="O157" i="2"/>
  <c r="O167" i="2"/>
  <c r="O185" i="2"/>
  <c r="O252" i="2"/>
  <c r="O336" i="2"/>
  <c r="O443" i="2"/>
  <c r="O455" i="2"/>
  <c r="O530" i="2"/>
  <c r="O673" i="2"/>
  <c r="O698" i="2"/>
  <c r="O747" i="2"/>
  <c r="O881" i="2"/>
  <c r="O927" i="2"/>
  <c r="O937" i="2"/>
  <c r="O943" i="2"/>
  <c r="O970" i="2"/>
  <c r="O979" i="2"/>
  <c r="O1002" i="2"/>
  <c r="O1025" i="2"/>
  <c r="O1118" i="2"/>
  <c r="O1133" i="2"/>
  <c r="O1169" i="2"/>
  <c r="O1178" i="2"/>
  <c r="O1213" i="2"/>
  <c r="O1257" i="2"/>
  <c r="O1305" i="2"/>
  <c r="O1340" i="2"/>
  <c r="O1351" i="2"/>
  <c r="O1393" i="2"/>
  <c r="O1408" i="2"/>
  <c r="O1421" i="2"/>
  <c r="O1434" i="2"/>
  <c r="O1499" i="2"/>
  <c r="O1548" i="2"/>
  <c r="O1609" i="2"/>
  <c r="O1615" i="2"/>
  <c r="O1638" i="2"/>
  <c r="O1662" i="2"/>
  <c r="O1673" i="2"/>
  <c r="O1693" i="2"/>
  <c r="O1716" i="2"/>
  <c r="O1045" i="2"/>
  <c r="O1000" i="2"/>
  <c r="O442" i="2"/>
  <c r="O483" i="2"/>
  <c r="O751" i="2"/>
  <c r="O570" i="2"/>
  <c r="O571" i="2"/>
  <c r="O590" i="2"/>
  <c r="O1668" i="2"/>
  <c r="O1205" i="2"/>
  <c r="O791" i="2"/>
  <c r="O801" i="2"/>
  <c r="O851" i="2"/>
  <c r="O3" i="2"/>
  <c r="O14" i="2"/>
  <c r="O16" i="2"/>
  <c r="O21" i="2"/>
  <c r="O22" i="2"/>
  <c r="O23" i="2"/>
  <c r="O24" i="2"/>
  <c r="O25" i="2"/>
  <c r="O26" i="2"/>
  <c r="O28" i="2"/>
  <c r="O36" i="2"/>
  <c r="O42" i="2"/>
  <c r="O46" i="2"/>
  <c r="O51" i="2"/>
  <c r="O55" i="2"/>
  <c r="O67" i="2"/>
  <c r="O68" i="2"/>
  <c r="O70" i="2"/>
  <c r="O72" i="2"/>
  <c r="O74" i="2"/>
  <c r="O75" i="2"/>
  <c r="O82" i="2"/>
  <c r="O85" i="2"/>
  <c r="O88" i="2"/>
  <c r="O90" i="2"/>
  <c r="O91" i="2"/>
  <c r="O92" i="2"/>
  <c r="O96" i="2"/>
  <c r="O100" i="2"/>
  <c r="O102" i="2"/>
  <c r="O105" i="2"/>
  <c r="O106" i="2"/>
  <c r="O107" i="2"/>
  <c r="O108" i="2"/>
  <c r="O109" i="2"/>
  <c r="O110" i="2"/>
  <c r="O122" i="2"/>
  <c r="O125" i="2"/>
  <c r="O128" i="2"/>
  <c r="O129" i="2"/>
  <c r="O132" i="2"/>
  <c r="O133" i="2"/>
  <c r="O135" i="2"/>
  <c r="O142" i="2"/>
  <c r="O145" i="2"/>
  <c r="O150" i="2"/>
  <c r="O151" i="2"/>
  <c r="O152" i="2"/>
  <c r="O153" i="2"/>
  <c r="O154" i="2"/>
  <c r="O155" i="2"/>
  <c r="O156" i="2"/>
  <c r="O163" i="2"/>
  <c r="O171" i="2"/>
  <c r="O174" i="2"/>
  <c r="O179" i="2"/>
  <c r="O183" i="2"/>
  <c r="O190" i="2"/>
  <c r="O196" i="2"/>
  <c r="O198" i="2"/>
  <c r="O197" i="2"/>
  <c r="O200" i="2"/>
  <c r="O201" i="2"/>
  <c r="O202" i="2"/>
  <c r="O205" i="2"/>
  <c r="O206" i="2"/>
  <c r="O209" i="2"/>
  <c r="O210" i="2"/>
  <c r="O213" i="2"/>
  <c r="O215" i="2"/>
  <c r="O216" i="2"/>
  <c r="O217" i="2"/>
  <c r="O222" i="2"/>
  <c r="O229" i="2"/>
  <c r="O230" i="2"/>
  <c r="O233" i="2"/>
  <c r="O236" i="2"/>
  <c r="O249" i="2"/>
  <c r="O250" i="2"/>
  <c r="O256" i="2"/>
  <c r="O261" i="2"/>
  <c r="O263" i="2"/>
  <c r="O264" i="2"/>
  <c r="O268" i="2"/>
  <c r="O269" i="2"/>
  <c r="O271" i="2"/>
  <c r="O272" i="2"/>
  <c r="O273" i="2"/>
  <c r="O274" i="2"/>
  <c r="O275" i="2"/>
  <c r="O276" i="2"/>
  <c r="O277" i="2"/>
  <c r="O284" i="2"/>
  <c r="O286" i="2"/>
  <c r="O289" i="2"/>
  <c r="O290" i="2"/>
  <c r="O291" i="2"/>
  <c r="O295" i="2"/>
  <c r="O297" i="2"/>
  <c r="O298" i="2"/>
  <c r="O299" i="2"/>
  <c r="O300" i="2"/>
  <c r="O301" i="2"/>
  <c r="O302" i="2"/>
  <c r="O303" i="2"/>
  <c r="O304" i="2"/>
  <c r="O306" i="2"/>
  <c r="O307" i="2"/>
  <c r="O308" i="2"/>
  <c r="O309" i="2"/>
  <c r="O311" i="2"/>
  <c r="O314" i="2"/>
  <c r="O315" i="2"/>
  <c r="O316" i="2"/>
  <c r="O317" i="2"/>
  <c r="O329" i="2"/>
  <c r="O330" i="2"/>
  <c r="O331" i="2"/>
  <c r="O332" i="2"/>
  <c r="O334" i="2"/>
  <c r="O338" i="2"/>
  <c r="O340" i="2"/>
  <c r="O344" i="2"/>
  <c r="O345" i="2"/>
  <c r="O346" i="2"/>
  <c r="O347" i="2"/>
  <c r="O348" i="2"/>
  <c r="O349" i="2"/>
  <c r="O353"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5" i="2"/>
  <c r="O398" i="2"/>
  <c r="O401" i="2"/>
  <c r="O402" i="2"/>
  <c r="O403" i="2"/>
  <c r="O404" i="2"/>
  <c r="O405" i="2"/>
  <c r="O407" i="2"/>
  <c r="O408" i="2"/>
  <c r="O417" i="2"/>
  <c r="O420" i="2"/>
  <c r="O419" i="2"/>
  <c r="O421" i="2"/>
  <c r="O424" i="2"/>
  <c r="O428" i="2"/>
  <c r="O436" i="2"/>
  <c r="O438" i="2"/>
  <c r="O439" i="2"/>
  <c r="O444" i="2"/>
  <c r="O446" i="2"/>
  <c r="O447" i="2"/>
  <c r="O448" i="2"/>
  <c r="O450" i="2"/>
  <c r="O451" i="2"/>
  <c r="O452" i="2"/>
  <c r="O453" i="2"/>
  <c r="O456" i="2"/>
  <c r="O457" i="2"/>
  <c r="O463" i="2"/>
  <c r="O465" i="2"/>
  <c r="O466" i="2"/>
  <c r="O472" i="2"/>
  <c r="O475" i="2"/>
  <c r="O479" i="2"/>
  <c r="O480" i="2"/>
  <c r="O482" i="2"/>
  <c r="O488" i="2"/>
  <c r="O490" i="2"/>
  <c r="O492" i="2"/>
  <c r="O493" i="2"/>
  <c r="O494" i="2"/>
  <c r="O495" i="2"/>
  <c r="O497" i="2"/>
  <c r="O501" i="2"/>
  <c r="O505" i="2"/>
  <c r="O506" i="2"/>
  <c r="O507" i="2"/>
  <c r="O508" i="2"/>
  <c r="O515" i="2"/>
  <c r="O516" i="2"/>
  <c r="O520" i="2"/>
  <c r="O521" i="2"/>
  <c r="O523" i="2"/>
  <c r="O524" i="2"/>
  <c r="O526" i="2"/>
  <c r="O531" i="2"/>
  <c r="O540" i="2"/>
  <c r="O541" i="2"/>
  <c r="O543" i="2"/>
  <c r="O544" i="2"/>
  <c r="O545" i="2"/>
  <c r="O551" i="2"/>
  <c r="O555" i="2"/>
  <c r="O556" i="2"/>
  <c r="O557" i="2"/>
  <c r="O558" i="2"/>
  <c r="O560" i="2"/>
  <c r="O566" i="2"/>
  <c r="O568" i="2"/>
  <c r="O569" i="2"/>
  <c r="O576" i="2"/>
  <c r="O577" i="2"/>
  <c r="O578" i="2"/>
  <c r="O579" i="2"/>
  <c r="O581" i="2"/>
  <c r="O586" i="2"/>
  <c r="O591" i="2"/>
  <c r="O594" i="2"/>
  <c r="O595" i="2"/>
  <c r="O596" i="2"/>
  <c r="O597" i="2"/>
  <c r="O603" i="2"/>
  <c r="O604" i="2"/>
  <c r="O605" i="2"/>
  <c r="O606" i="2"/>
  <c r="O610" i="2"/>
  <c r="O611" i="2"/>
  <c r="O612" i="2"/>
  <c r="O613" i="2"/>
  <c r="O614" i="2"/>
  <c r="O615" i="2"/>
  <c r="O616" i="2"/>
  <c r="O617" i="2"/>
  <c r="O618" i="2"/>
  <c r="O619" i="2"/>
  <c r="O620" i="2"/>
  <c r="O621" i="2"/>
  <c r="O622" i="2"/>
  <c r="O623" i="2"/>
  <c r="O624" i="2"/>
  <c r="O625" i="2"/>
  <c r="O626" i="2"/>
  <c r="O627" i="2"/>
  <c r="O628" i="2"/>
  <c r="O629" i="2"/>
  <c r="O634" i="2"/>
  <c r="O636" i="2"/>
  <c r="O637" i="2"/>
  <c r="O638" i="2"/>
  <c r="O639" i="2"/>
  <c r="O640" i="2"/>
  <c r="O641" i="2"/>
  <c r="O642" i="2"/>
  <c r="O643" i="2"/>
  <c r="O652" i="2"/>
  <c r="O653" i="2"/>
  <c r="O654" i="2"/>
  <c r="O655" i="2"/>
  <c r="O664" i="2"/>
  <c r="O665" i="2"/>
  <c r="O668" i="2"/>
  <c r="O675" i="2"/>
  <c r="O680" i="2"/>
  <c r="O681" i="2"/>
  <c r="O683" i="2"/>
  <c r="O684" i="2"/>
  <c r="O685" i="2"/>
  <c r="O686" i="2"/>
  <c r="O687" i="2"/>
  <c r="O691" i="2"/>
  <c r="O692" i="2"/>
  <c r="O694" i="2"/>
  <c r="O695" i="2"/>
  <c r="O700" i="2"/>
  <c r="O701" i="2"/>
  <c r="O702" i="2"/>
  <c r="O709" i="2"/>
  <c r="O712" i="2"/>
  <c r="O713" i="2"/>
  <c r="O714" i="2"/>
  <c r="O716" i="2"/>
  <c r="O717" i="2"/>
  <c r="O718" i="2"/>
  <c r="O719" i="2"/>
  <c r="O720" i="2"/>
  <c r="O721" i="2"/>
  <c r="O722" i="2"/>
  <c r="O723" i="2"/>
  <c r="O724" i="2"/>
  <c r="O725" i="2"/>
  <c r="O726" i="2"/>
  <c r="O728" i="2"/>
  <c r="O729" i="2"/>
  <c r="O730" i="2"/>
  <c r="O731" i="2"/>
  <c r="O732" i="2"/>
  <c r="O733" i="2"/>
  <c r="O736" i="2"/>
  <c r="O737" i="2"/>
  <c r="O738" i="2"/>
  <c r="O739" i="2"/>
  <c r="O742" i="2"/>
  <c r="O744" i="2"/>
  <c r="O748" i="2"/>
  <c r="O752" i="2"/>
  <c r="O753" i="2"/>
  <c r="O754" i="2"/>
  <c r="O756" i="2"/>
  <c r="O758" i="2"/>
  <c r="O759" i="2"/>
  <c r="O761" i="2"/>
  <c r="O763" i="2"/>
  <c r="O768" i="2"/>
  <c r="O769" i="2"/>
  <c r="O770" i="2"/>
  <c r="O771" i="2"/>
  <c r="O772" i="2"/>
  <c r="O774" i="2"/>
  <c r="O777" i="2"/>
  <c r="O782" i="2"/>
  <c r="O784" i="2"/>
  <c r="O785" i="2"/>
  <c r="O786" i="2"/>
  <c r="O787" i="2"/>
  <c r="O790" i="2"/>
  <c r="O794" i="2"/>
  <c r="O796" i="2"/>
  <c r="O797" i="2"/>
  <c r="O798" i="2"/>
  <c r="O799" i="2"/>
  <c r="O800" i="2"/>
  <c r="O804" i="2"/>
  <c r="O805" i="2"/>
  <c r="O806" i="2"/>
  <c r="O807" i="2"/>
  <c r="O808" i="2"/>
  <c r="O809" i="2"/>
  <c r="O811" i="2"/>
  <c r="O812" i="2"/>
  <c r="O813" i="2"/>
  <c r="O814" i="2"/>
  <c r="O815" i="2"/>
  <c r="O816" i="2"/>
  <c r="O817" i="2"/>
  <c r="O818" i="2"/>
  <c r="O819" i="2"/>
  <c r="O820" i="2"/>
  <c r="O821" i="2"/>
  <c r="O822" i="2"/>
  <c r="O823" i="2"/>
  <c r="O824" i="2"/>
  <c r="O825" i="2"/>
  <c r="O826" i="2"/>
  <c r="O827" i="2"/>
  <c r="O828" i="2"/>
  <c r="O829" i="2"/>
  <c r="O830" i="2"/>
  <c r="O831" i="2"/>
  <c r="O832" i="2"/>
  <c r="O833" i="2"/>
  <c r="O834" i="2"/>
  <c r="O835" i="2"/>
  <c r="O836" i="2"/>
  <c r="O837" i="2"/>
  <c r="O838" i="2"/>
  <c r="O839" i="2"/>
  <c r="O841" i="2"/>
  <c r="O843" i="2"/>
  <c r="O846" i="2"/>
  <c r="O847" i="2"/>
  <c r="O848" i="2"/>
  <c r="O849" i="2"/>
  <c r="O853" i="2"/>
  <c r="O856" i="2"/>
  <c r="O866" i="2"/>
  <c r="O867" i="2"/>
  <c r="O868" i="2"/>
  <c r="O886" i="2"/>
  <c r="O887" i="2"/>
  <c r="O888" i="2"/>
  <c r="O892" i="2"/>
  <c r="O895" i="2"/>
  <c r="O896" i="2"/>
  <c r="O898" i="2"/>
  <c r="O903" i="2"/>
  <c r="O905" i="2"/>
  <c r="O908" i="2"/>
  <c r="O911" i="2"/>
  <c r="O912" i="2"/>
  <c r="O915" i="2"/>
  <c r="O919" i="2"/>
  <c r="O921" i="2"/>
  <c r="O922" i="2"/>
  <c r="O924" i="2"/>
  <c r="O929" i="2"/>
  <c r="O933" i="2"/>
  <c r="O939" i="2"/>
  <c r="O940" i="2"/>
  <c r="O941" i="2"/>
  <c r="O942" i="2"/>
  <c r="O944" i="2"/>
  <c r="O946" i="2"/>
  <c r="O949" i="2"/>
  <c r="O952" i="2"/>
  <c r="O953" i="2"/>
  <c r="O955" i="2"/>
  <c r="O959" i="2"/>
  <c r="O960" i="2"/>
  <c r="O962" i="2"/>
  <c r="O964" i="2"/>
  <c r="O974" i="2"/>
  <c r="O975" i="2"/>
  <c r="O978" i="2"/>
  <c r="O980" i="2"/>
  <c r="O985" i="2"/>
  <c r="O988" i="2"/>
  <c r="O989" i="2"/>
  <c r="O995" i="2"/>
  <c r="O996" i="2"/>
  <c r="O997" i="2"/>
  <c r="O1012" i="2"/>
  <c r="O1015" i="2"/>
  <c r="O1016" i="2"/>
  <c r="O1019" i="2"/>
  <c r="O1020" i="2"/>
  <c r="O1029" i="2"/>
  <c r="O1031" i="2"/>
  <c r="O1033" i="2"/>
  <c r="O1034" i="2"/>
  <c r="O1036" i="2"/>
  <c r="O1035" i="2"/>
  <c r="O1037" i="2"/>
  <c r="O1038" i="2"/>
  <c r="O1039" i="2"/>
  <c r="O1040" i="2"/>
  <c r="O1041" i="2"/>
  <c r="O1051" i="2"/>
  <c r="O1052" i="2"/>
  <c r="O1053" i="2"/>
  <c r="O1055" i="2"/>
  <c r="O1056" i="2"/>
  <c r="O1059" i="2"/>
  <c r="O1058" i="2"/>
  <c r="O1061" i="2"/>
  <c r="O1062" i="2"/>
  <c r="O1071" i="2"/>
  <c r="O1076" i="2"/>
  <c r="O1077" i="2"/>
  <c r="O1078" i="2"/>
  <c r="O1083" i="2"/>
  <c r="O1084" i="2"/>
  <c r="O1087" i="2"/>
  <c r="O1088" i="2"/>
  <c r="O1089" i="2"/>
  <c r="O1090" i="2"/>
  <c r="O1092" i="2"/>
  <c r="O1091" i="2"/>
  <c r="O1093" i="2"/>
  <c r="O1094" i="2"/>
  <c r="O1095" i="2"/>
  <c r="O1100" i="2"/>
  <c r="O1101" i="2"/>
  <c r="O1103" i="2"/>
  <c r="O1104" i="2"/>
  <c r="O1107" i="2"/>
  <c r="O1109" i="2"/>
  <c r="O1112" i="2"/>
  <c r="O1117" i="2"/>
  <c r="O1120" i="2"/>
  <c r="O1121" i="2"/>
  <c r="O1126" i="2"/>
  <c r="O1127" i="2"/>
  <c r="O1128" i="2"/>
  <c r="O1130" i="2"/>
  <c r="O1138" i="2"/>
  <c r="O1143" i="2"/>
  <c r="O1144" i="2"/>
  <c r="O1145" i="2"/>
  <c r="O1146" i="2"/>
  <c r="O1151" i="2"/>
  <c r="O1152" i="2"/>
  <c r="O1153" i="2"/>
  <c r="O1154" i="2"/>
  <c r="O1167" i="2"/>
  <c r="O1175" i="2"/>
  <c r="O1179" i="2"/>
  <c r="O1180" i="2"/>
  <c r="O1181" i="2"/>
  <c r="O1182" i="2"/>
  <c r="O1183" i="2"/>
  <c r="O1192" i="2"/>
  <c r="O1200" i="2"/>
  <c r="O1203" i="2"/>
  <c r="O1204" i="2"/>
  <c r="O1207" i="2"/>
  <c r="O1208" i="2"/>
  <c r="O1210" i="2"/>
  <c r="O1211" i="2"/>
  <c r="O1215" i="2"/>
  <c r="O1217" i="2"/>
  <c r="O1218" i="2"/>
  <c r="O1219" i="2"/>
  <c r="O1220" i="2"/>
  <c r="O1222" i="2"/>
  <c r="O1223" i="2"/>
  <c r="O1225" i="2"/>
  <c r="O1227" i="2"/>
  <c r="O1228" i="2"/>
  <c r="O1230" i="2"/>
  <c r="O1234" i="2"/>
  <c r="O1238" i="2"/>
  <c r="O1239" i="2"/>
  <c r="O1241" i="2"/>
  <c r="O1242" i="2"/>
  <c r="O1243" i="2"/>
  <c r="O1248" i="2"/>
  <c r="O1249" i="2"/>
  <c r="O1259" i="2"/>
  <c r="O1260" i="2"/>
  <c r="O1262" i="2"/>
  <c r="O1264" i="2"/>
  <c r="O1269" i="2"/>
  <c r="O1272" i="2"/>
  <c r="O1273" i="2"/>
  <c r="O1274" i="2"/>
  <c r="O1275" i="2"/>
  <c r="O1276" i="2"/>
  <c r="O1277" i="2"/>
  <c r="O1278" i="2"/>
  <c r="O1279" i="2"/>
  <c r="O1280" i="2"/>
  <c r="O1283" i="2"/>
  <c r="O1284" i="2"/>
  <c r="O1293" i="2"/>
  <c r="O1298" i="2"/>
  <c r="O1299" i="2"/>
  <c r="O1311" i="2"/>
  <c r="O1317" i="2"/>
  <c r="O1320" i="2"/>
  <c r="O1322" i="2"/>
  <c r="O1326" i="2"/>
  <c r="O1330" i="2"/>
  <c r="O1332" i="2"/>
  <c r="O1334" i="2"/>
  <c r="O1338" i="2"/>
  <c r="O1339" i="2"/>
  <c r="O1356" i="2"/>
  <c r="O1357" i="2"/>
  <c r="O1359" i="2"/>
  <c r="O1377" i="2"/>
  <c r="O1378" i="2"/>
  <c r="O1379" i="2"/>
  <c r="O1382" i="2"/>
  <c r="O1389" i="2"/>
  <c r="O1391" i="2"/>
  <c r="O1395" i="2"/>
  <c r="O1397" i="2"/>
  <c r="O1398" i="2"/>
  <c r="O1399" i="2"/>
  <c r="O1400" i="2"/>
  <c r="O1403" i="2"/>
  <c r="O1406" i="2"/>
  <c r="O1410" i="2"/>
  <c r="O1414" i="2"/>
  <c r="O1420" i="2"/>
  <c r="O1429" i="2"/>
  <c r="O1430" i="2"/>
  <c r="O1432" i="2"/>
  <c r="O1440" i="2"/>
  <c r="O1451" i="2"/>
  <c r="O1455" i="2"/>
  <c r="O1457" i="2"/>
  <c r="O1464" i="2"/>
  <c r="O1467" i="2"/>
  <c r="O1468" i="2"/>
  <c r="O1469" i="2"/>
  <c r="O1472" i="2"/>
  <c r="O1473" i="2"/>
  <c r="O1475" i="2"/>
  <c r="O1479" i="2"/>
  <c r="O1481" i="2"/>
  <c r="O1486" i="2"/>
  <c r="O1489" i="2"/>
  <c r="O1491" i="2"/>
  <c r="O1492" i="2"/>
  <c r="O1493" i="2"/>
  <c r="O1494" i="2"/>
  <c r="O1495" i="2"/>
  <c r="O1496" i="2"/>
  <c r="O1497" i="2"/>
  <c r="O1498" i="2"/>
  <c r="O1502" i="2"/>
  <c r="O1505" i="2"/>
  <c r="O1507" i="2"/>
  <c r="O1509" i="2"/>
  <c r="O1513" i="2"/>
  <c r="O1514" i="2"/>
  <c r="O1516" i="2"/>
  <c r="O1517" i="2"/>
  <c r="O1519" i="2"/>
  <c r="O1522" i="2"/>
  <c r="O1524" i="2"/>
  <c r="O1525" i="2"/>
  <c r="O1528" i="2"/>
  <c r="O1530" i="2"/>
  <c r="O1533" i="2"/>
  <c r="O1534" i="2"/>
  <c r="O1535" i="2"/>
  <c r="O1536" i="2"/>
  <c r="O1537" i="2"/>
  <c r="O1541" i="2"/>
  <c r="O1546" i="2"/>
  <c r="O1547" i="2"/>
  <c r="O1549" i="2"/>
  <c r="O1551" i="2"/>
  <c r="O1553" i="2"/>
  <c r="O1554" i="2"/>
  <c r="O1556" i="2"/>
  <c r="O1557" i="2"/>
  <c r="O1558" i="2"/>
  <c r="O1559" i="2"/>
  <c r="O1560" i="2"/>
  <c r="O1561" i="2"/>
  <c r="O1562" i="2"/>
  <c r="O1563" i="2"/>
  <c r="O1564" i="2"/>
  <c r="O1565" i="2"/>
  <c r="O1566" i="2"/>
  <c r="O1573" i="2"/>
  <c r="O1575" i="2"/>
  <c r="O1576" i="2"/>
  <c r="O1579" i="2"/>
  <c r="O1580" i="2"/>
  <c r="O1587" i="2"/>
  <c r="O1591" i="2"/>
  <c r="O1592" i="2"/>
  <c r="O1605" i="2"/>
  <c r="O1611" i="2"/>
  <c r="O1612" i="2"/>
  <c r="O1616" i="2"/>
  <c r="O1620" i="2"/>
  <c r="O1626" i="2"/>
  <c r="O1632" i="2"/>
  <c r="O1633" i="2"/>
  <c r="O1636" i="2"/>
  <c r="O1640" i="2"/>
  <c r="O1645" i="2"/>
  <c r="O1647" i="2"/>
  <c r="O1648" i="2"/>
  <c r="O1651" i="2"/>
  <c r="O1652" i="2"/>
  <c r="O1653" i="2"/>
  <c r="O1655" i="2"/>
  <c r="O1656" i="2"/>
  <c r="O1657" i="2"/>
  <c r="O1658" i="2"/>
  <c r="O1659" i="2"/>
  <c r="O1660" i="2"/>
  <c r="O1661" i="2"/>
  <c r="O1669" i="2"/>
  <c r="O1670" i="2"/>
  <c r="O1676" i="2"/>
  <c r="O1680" i="2"/>
  <c r="O1682" i="2"/>
  <c r="O1689" i="2"/>
  <c r="O1690" i="2"/>
  <c r="O1694" i="2"/>
  <c r="O1699" i="2"/>
  <c r="O1703" i="2"/>
  <c r="O1704" i="2"/>
  <c r="O1706" i="2"/>
  <c r="O1707" i="2"/>
  <c r="O1712" i="2"/>
  <c r="O1719" i="2"/>
  <c r="O1720" i="2"/>
  <c r="O1721" i="2"/>
  <c r="O1722" i="2"/>
  <c r="O1726" i="2"/>
  <c r="O1727" i="2"/>
  <c r="O126" i="2"/>
  <c r="O582" i="2"/>
  <c r="O947" i="2"/>
  <c r="O977" i="2"/>
  <c r="O1155" i="2"/>
  <c r="O1235" i="2"/>
  <c r="O1346" i="2"/>
  <c r="O4" i="2"/>
  <c r="O5" i="2"/>
  <c r="O7" i="2"/>
  <c r="O10" i="2"/>
  <c r="O11" i="2"/>
  <c r="O12" i="2"/>
  <c r="O13" i="2"/>
  <c r="O17" i="2"/>
  <c r="O18" i="2"/>
  <c r="O19" i="2"/>
  <c r="O20" i="2"/>
  <c r="O29" i="2"/>
  <c r="O33" i="2"/>
  <c r="O34" i="2"/>
  <c r="O35" i="2"/>
  <c r="O37" i="2"/>
  <c r="O39" i="2"/>
  <c r="O40" i="2"/>
  <c r="O41" i="2"/>
  <c r="O43" i="2"/>
  <c r="O44" i="2"/>
  <c r="O45" i="2"/>
  <c r="O47" i="2"/>
  <c r="O48" i="2"/>
  <c r="O50" i="2"/>
  <c r="O52" i="2"/>
  <c r="O54" i="2"/>
  <c r="O56" i="2"/>
  <c r="O57" i="2"/>
  <c r="O58" i="2"/>
  <c r="O59" i="2"/>
  <c r="O60" i="2"/>
  <c r="O61" i="2"/>
  <c r="O62" i="2"/>
  <c r="O63" i="2"/>
  <c r="O66" i="2"/>
  <c r="O69" i="2"/>
  <c r="O71" i="2"/>
  <c r="O73" i="2"/>
  <c r="O76" i="2"/>
  <c r="O77" i="2"/>
  <c r="O78" i="2"/>
  <c r="O79" i="2"/>
  <c r="O80" i="2"/>
  <c r="O83" i="2"/>
  <c r="O86" i="2"/>
  <c r="O87" i="2"/>
  <c r="O89" i="2"/>
  <c r="O93" i="2"/>
  <c r="O94" i="2"/>
  <c r="O97" i="2"/>
  <c r="O99" i="2"/>
  <c r="O101" i="2"/>
  <c r="O104" i="2"/>
  <c r="O113" i="2"/>
  <c r="O114" i="2"/>
  <c r="O116" i="2"/>
  <c r="O117" i="2"/>
  <c r="O118" i="2"/>
  <c r="O119" i="2"/>
  <c r="O120" i="2"/>
  <c r="O121" i="2"/>
  <c r="O123" i="2"/>
  <c r="O127" i="2"/>
  <c r="O130" i="2"/>
  <c r="O131" i="2"/>
  <c r="O134" i="2"/>
  <c r="O136" i="2"/>
  <c r="O139" i="2"/>
  <c r="O140" i="2"/>
  <c r="O141" i="2"/>
  <c r="O144" i="2"/>
  <c r="O146" i="2"/>
  <c r="O147" i="2"/>
  <c r="O148" i="2"/>
  <c r="O149" i="2"/>
  <c r="O158" i="2"/>
  <c r="O159" i="2"/>
  <c r="O160" i="2"/>
  <c r="O161" i="2"/>
  <c r="O162" i="2"/>
  <c r="O164" i="2"/>
  <c r="O165" i="2"/>
  <c r="O169" i="2"/>
  <c r="O170" i="2"/>
  <c r="O172" i="2"/>
  <c r="O173" i="2"/>
  <c r="O175" i="2"/>
  <c r="O176" i="2"/>
  <c r="O177" i="2"/>
  <c r="O178" i="2"/>
  <c r="O180" i="2"/>
  <c r="O182" i="2"/>
  <c r="O184" i="2"/>
  <c r="O188" i="2"/>
  <c r="O189" i="2"/>
  <c r="O191" i="2"/>
  <c r="O192" i="2"/>
  <c r="O193" i="2"/>
  <c r="O194" i="2"/>
  <c r="O195" i="2"/>
  <c r="O199" i="2"/>
  <c r="O207" i="2"/>
  <c r="O208" i="2"/>
  <c r="O211" i="2"/>
  <c r="O214" i="2"/>
  <c r="O218" i="2"/>
  <c r="O220" i="2"/>
  <c r="O221" i="2"/>
  <c r="O232" i="2"/>
  <c r="O234" i="2"/>
  <c r="O251" i="2"/>
  <c r="O254" i="2"/>
  <c r="O257" i="2"/>
  <c r="O259" i="2"/>
  <c r="O262" i="2"/>
  <c r="O285" i="2"/>
  <c r="O296" i="2"/>
  <c r="O310" i="2"/>
  <c r="O312" i="2"/>
  <c r="O320" i="2"/>
  <c r="O321" i="2"/>
  <c r="O326" i="2"/>
  <c r="O327" i="2"/>
  <c r="O333" i="2"/>
  <c r="O342" i="2"/>
  <c r="O343" i="2"/>
  <c r="O350" i="2"/>
  <c r="O352" i="2"/>
  <c r="O354" i="2"/>
  <c r="O397" i="2"/>
  <c r="O412" i="2"/>
  <c r="O416" i="2"/>
  <c r="O422" i="2"/>
  <c r="O423" i="2"/>
  <c r="O425" i="2"/>
  <c r="O426" i="2"/>
  <c r="O427" i="2"/>
  <c r="O429" i="2"/>
  <c r="O430" i="2"/>
  <c r="O431" i="2"/>
  <c r="O432" i="2"/>
  <c r="O433" i="2"/>
  <c r="O435" i="2"/>
  <c r="O437" i="2"/>
  <c r="O440" i="2"/>
  <c r="O441" i="2"/>
  <c r="O445" i="2"/>
  <c r="O449" i="2"/>
  <c r="O454" i="2"/>
  <c r="O458" i="2"/>
  <c r="O459" i="2"/>
  <c r="O460" i="2"/>
  <c r="O462" i="2"/>
  <c r="O464" i="2"/>
  <c r="O468" i="2"/>
  <c r="O469" i="2"/>
  <c r="O470" i="2"/>
  <c r="O471" i="2"/>
  <c r="O474" i="2"/>
  <c r="O476" i="2"/>
  <c r="O477" i="2"/>
  <c r="O478" i="2"/>
  <c r="O481" i="2"/>
  <c r="O484" i="2"/>
  <c r="O485" i="2"/>
  <c r="O491" i="2"/>
  <c r="O498" i="2"/>
  <c r="O511" i="2"/>
  <c r="O525" i="2"/>
  <c r="O542" i="2"/>
  <c r="O548" i="2"/>
  <c r="O553" i="2"/>
  <c r="O554" i="2"/>
  <c r="O559" i="2"/>
  <c r="O585" i="2"/>
  <c r="O601" i="2"/>
  <c r="O609" i="2"/>
  <c r="O646" i="2"/>
  <c r="O647" i="2"/>
  <c r="O650" i="2"/>
  <c r="O656" i="2"/>
  <c r="O661" i="2"/>
  <c r="O662" i="2"/>
  <c r="O663" i="2"/>
  <c r="O666" i="2"/>
  <c r="O667" i="2"/>
  <c r="O669" i="2"/>
  <c r="O670" i="2"/>
  <c r="O672" i="2"/>
  <c r="O674" i="2"/>
  <c r="O676" i="2"/>
  <c r="O677" i="2"/>
  <c r="O678" i="2"/>
  <c r="O682" i="2"/>
  <c r="O688" i="2"/>
  <c r="O689" i="2"/>
  <c r="O690" i="2"/>
  <c r="O693" i="2"/>
  <c r="O696" i="2"/>
  <c r="O699" i="2"/>
  <c r="O704" i="2"/>
  <c r="O705" i="2"/>
  <c r="O706" i="2"/>
  <c r="O707" i="2"/>
  <c r="O708" i="2"/>
  <c r="O734" i="2"/>
  <c r="O741" i="2"/>
  <c r="O745" i="2"/>
  <c r="O746" i="2"/>
  <c r="O757" i="2"/>
  <c r="O764" i="2"/>
  <c r="O765" i="2"/>
  <c r="O766" i="2"/>
  <c r="O767" i="2"/>
  <c r="O775" i="2"/>
  <c r="O778" i="2"/>
  <c r="O779" i="2"/>
  <c r="O780" i="2"/>
  <c r="O781" i="2"/>
  <c r="O789" i="2"/>
  <c r="O792" i="2"/>
  <c r="O802" i="2"/>
  <c r="O810" i="2"/>
  <c r="O844" i="2"/>
  <c r="O850" i="2"/>
  <c r="O854" i="2"/>
  <c r="O855" i="2"/>
  <c r="O857" i="2"/>
  <c r="O858" i="2"/>
  <c r="O859" i="2"/>
  <c r="O860" i="2"/>
  <c r="O863" i="2"/>
  <c r="O864" i="2"/>
  <c r="O865" i="2"/>
  <c r="O869" i="2"/>
  <c r="O870" i="2"/>
  <c r="O871" i="2"/>
  <c r="O874" i="2"/>
  <c r="O875" i="2"/>
  <c r="O876" i="2"/>
  <c r="O877" i="2"/>
  <c r="O878" i="2"/>
  <c r="O879" i="2"/>
  <c r="O882" i="2"/>
  <c r="O883" i="2"/>
  <c r="O884" i="2"/>
  <c r="O885" i="2"/>
  <c r="O889" i="2"/>
  <c r="O890" i="2"/>
  <c r="O891" i="2"/>
  <c r="O893" i="2"/>
  <c r="O894" i="2"/>
  <c r="O897" i="2"/>
  <c r="O899" i="2"/>
  <c r="O901" i="2"/>
  <c r="O902" i="2"/>
  <c r="O906" i="2"/>
  <c r="O907" i="2"/>
  <c r="O909" i="2"/>
  <c r="O910" i="2"/>
  <c r="O913" i="2"/>
  <c r="O914" i="2"/>
  <c r="O916" i="2"/>
  <c r="O918" i="2"/>
  <c r="O920" i="2"/>
  <c r="O923" i="2"/>
  <c r="O925" i="2"/>
  <c r="O926" i="2"/>
  <c r="O930" i="2"/>
  <c r="O931" i="2"/>
  <c r="O932" i="2"/>
  <c r="O934" i="2"/>
  <c r="O935" i="2"/>
  <c r="O936" i="2"/>
  <c r="O938" i="2"/>
  <c r="O945" i="2"/>
  <c r="O948" i="2"/>
  <c r="O951" i="2"/>
  <c r="O954" i="2"/>
  <c r="O956" i="2"/>
  <c r="O957" i="2"/>
  <c r="O958" i="2"/>
  <c r="O963" i="2"/>
  <c r="O965" i="2"/>
  <c r="O966" i="2"/>
  <c r="O967" i="2"/>
  <c r="O968" i="2"/>
  <c r="O969" i="2"/>
  <c r="O972" i="2"/>
  <c r="O973" i="2"/>
  <c r="O976" i="2"/>
  <c r="O981" i="2"/>
  <c r="O982" i="2"/>
  <c r="O983" i="2"/>
  <c r="O984" i="2"/>
  <c r="O986" i="2"/>
  <c r="O987" i="2"/>
  <c r="O990" i="2"/>
  <c r="O991" i="2"/>
  <c r="O992" i="2"/>
  <c r="O994" i="2"/>
  <c r="O998" i="2"/>
  <c r="O999" i="2"/>
  <c r="O1001" i="2"/>
  <c r="O1003" i="2"/>
  <c r="O1004" i="2"/>
  <c r="O1005" i="2"/>
  <c r="O1006" i="2"/>
  <c r="O1007" i="2"/>
  <c r="O1008" i="2"/>
  <c r="O1013" i="2"/>
  <c r="O1014" i="2"/>
  <c r="O1018" i="2"/>
  <c r="O1023" i="2"/>
  <c r="O1027" i="2"/>
  <c r="O1028" i="2"/>
  <c r="O1030" i="2"/>
  <c r="O1032" i="2"/>
  <c r="O1044" i="2"/>
  <c r="O1048" i="2"/>
  <c r="O1075" i="2"/>
  <c r="O1081" i="2"/>
  <c r="O1082" i="2"/>
  <c r="O1086" i="2"/>
  <c r="O1098" i="2"/>
  <c r="O1102" i="2"/>
  <c r="O1108" i="2"/>
  <c r="O1113" i="2"/>
  <c r="O1114" i="2"/>
  <c r="O1115" i="2"/>
  <c r="O1116" i="2"/>
  <c r="O1122" i="2"/>
  <c r="O1123" i="2"/>
  <c r="O1124" i="2"/>
  <c r="O1125" i="2"/>
  <c r="O1131" i="2"/>
  <c r="O1132" i="2"/>
  <c r="O1137" i="2"/>
  <c r="O1139" i="2"/>
  <c r="O1140" i="2"/>
  <c r="O1142" i="2"/>
  <c r="O1148" i="2"/>
  <c r="O1156" i="2"/>
  <c r="O1157" i="2"/>
  <c r="O1159" i="2"/>
  <c r="O1161" i="2"/>
  <c r="O1162" i="2"/>
  <c r="O1164" i="2"/>
  <c r="O1165" i="2"/>
  <c r="O1166" i="2"/>
  <c r="O1170" i="2"/>
  <c r="O1171" i="2"/>
  <c r="O1172" i="2"/>
  <c r="O1173" i="2"/>
  <c r="O1174" i="2"/>
  <c r="O1176" i="2"/>
  <c r="O1184" i="2"/>
  <c r="O1185" i="2"/>
  <c r="O1187" i="2"/>
  <c r="O1188" i="2"/>
  <c r="O1189" i="2"/>
  <c r="O1190" i="2"/>
  <c r="O1191" i="2"/>
  <c r="O1193" i="2"/>
  <c r="O1194" i="2"/>
  <c r="O1195" i="2"/>
  <c r="O1196" i="2"/>
  <c r="O1197" i="2"/>
  <c r="O1198" i="2"/>
  <c r="O1199" i="2"/>
  <c r="O1201" i="2"/>
  <c r="O1202" i="2"/>
  <c r="O1206" i="2"/>
  <c r="O1209" i="2"/>
  <c r="O1212" i="2"/>
  <c r="O1216" i="2"/>
  <c r="O1221" i="2"/>
  <c r="O1224" i="2"/>
  <c r="O1231" i="2"/>
  <c r="O1247" i="2"/>
  <c r="O1250" i="2"/>
  <c r="O1251" i="2"/>
  <c r="O1255" i="2"/>
  <c r="O1258" i="2"/>
  <c r="O1263" i="2"/>
  <c r="O1266" i="2"/>
  <c r="O1267" i="2"/>
  <c r="O1268" i="2"/>
  <c r="O1286" i="2"/>
  <c r="O1288" i="2"/>
  <c r="O1289" i="2"/>
  <c r="O1290" i="2"/>
  <c r="O1291" i="2"/>
  <c r="O1292" i="2"/>
  <c r="O1294" i="2"/>
  <c r="O1295" i="2"/>
  <c r="O1296" i="2"/>
  <c r="O1300" i="2"/>
  <c r="O1303" i="2"/>
  <c r="O1304" i="2"/>
  <c r="O1307" i="2"/>
  <c r="O1308" i="2"/>
  <c r="O1309" i="2"/>
  <c r="O1312" i="2"/>
  <c r="O1313" i="2"/>
  <c r="O1314" i="2"/>
  <c r="O1315" i="2"/>
  <c r="O1316" i="2"/>
  <c r="O1318" i="2"/>
  <c r="O1319" i="2"/>
  <c r="O1321" i="2"/>
  <c r="O1323" i="2"/>
  <c r="O1324" i="2"/>
  <c r="O1325" i="2"/>
  <c r="O1327" i="2"/>
  <c r="O1328" i="2"/>
  <c r="O1329" i="2"/>
  <c r="O1331" i="2"/>
  <c r="O1333" i="2"/>
  <c r="O1335" i="2"/>
  <c r="O1336" i="2"/>
  <c r="O1337" i="2"/>
  <c r="O1342" i="2"/>
  <c r="O1343" i="2"/>
  <c r="O1344" i="2"/>
  <c r="O1345" i="2"/>
  <c r="O1347" i="2"/>
  <c r="O1348" i="2"/>
  <c r="O1349" i="2"/>
  <c r="O1350" i="2"/>
  <c r="O1353" i="2"/>
  <c r="O1354" i="2"/>
  <c r="O1355" i="2"/>
  <c r="O1358" i="2"/>
  <c r="O1360" i="2"/>
  <c r="O1361" i="2"/>
  <c r="O1362" i="2"/>
  <c r="O1363" i="2"/>
  <c r="O1364" i="2"/>
  <c r="O1365" i="2"/>
  <c r="O1366" i="2"/>
  <c r="O1367" i="2"/>
  <c r="O1368" i="2"/>
  <c r="O1369" i="2"/>
  <c r="O1370" i="2"/>
  <c r="O1371" i="2"/>
  <c r="O1372" i="2"/>
  <c r="O1373" i="2"/>
  <c r="O1374" i="2"/>
  <c r="O1375" i="2"/>
  <c r="O1376" i="2"/>
  <c r="O1380" i="2"/>
  <c r="O1381" i="2"/>
  <c r="O1386" i="2"/>
  <c r="O1387" i="2"/>
  <c r="O1388" i="2"/>
  <c r="O1390" i="2"/>
  <c r="O1392" i="2"/>
  <c r="O1394" i="2"/>
  <c r="O1396" i="2"/>
  <c r="O1402" i="2"/>
  <c r="O1404" i="2"/>
  <c r="O1405" i="2"/>
  <c r="O1407" i="2"/>
  <c r="O1411" i="2"/>
  <c r="O1412" i="2"/>
  <c r="O1413" i="2"/>
  <c r="O1415" i="2"/>
  <c r="O1416" i="2"/>
  <c r="O1417" i="2"/>
  <c r="O1418" i="2"/>
  <c r="O1422" i="2"/>
  <c r="O1423" i="2"/>
  <c r="O1424" i="2"/>
  <c r="O1425" i="2"/>
  <c r="O1426" i="2"/>
  <c r="O1427" i="2"/>
  <c r="O1428" i="2"/>
  <c r="O1431" i="2"/>
  <c r="O1436" i="2"/>
  <c r="O1437" i="2"/>
  <c r="O1438" i="2"/>
  <c r="O1441" i="2"/>
  <c r="O1442" i="2"/>
  <c r="O1443" i="2"/>
  <c r="O1445" i="2"/>
  <c r="O1447" i="2"/>
  <c r="O1448" i="2"/>
  <c r="O1449" i="2"/>
  <c r="O1450" i="2"/>
  <c r="O1452" i="2"/>
  <c r="O1453" i="2"/>
  <c r="O1454" i="2"/>
  <c r="O1456" i="2"/>
  <c r="O1458" i="2"/>
  <c r="O1459" i="2"/>
  <c r="O1460" i="2"/>
  <c r="O1462" i="2"/>
  <c r="O1466" i="2"/>
  <c r="O1471" i="2"/>
  <c r="O1474" i="2"/>
  <c r="O1476" i="2"/>
  <c r="O1477" i="2"/>
  <c r="O1478" i="2"/>
  <c r="O1480" i="2"/>
  <c r="O1482" i="2"/>
  <c r="O1483" i="2"/>
  <c r="O1484" i="2"/>
  <c r="O1485" i="2"/>
  <c r="O1487" i="2"/>
  <c r="O1488" i="2"/>
  <c r="O1490" i="2"/>
  <c r="O1506" i="2"/>
  <c r="O1508" i="2"/>
  <c r="O1515" i="2"/>
  <c r="O1518" i="2"/>
  <c r="O1520" i="2"/>
  <c r="O1521" i="2"/>
  <c r="O1527" i="2"/>
  <c r="O1529" i="2"/>
  <c r="O1540" i="2"/>
  <c r="O1543" i="2"/>
  <c r="O1544" i="2"/>
  <c r="O1545" i="2"/>
  <c r="O1550" i="2"/>
  <c r="O1555" i="2"/>
  <c r="O1569" i="2"/>
  <c r="O1574" i="2"/>
  <c r="O1578" i="2"/>
  <c r="O1581" i="2"/>
  <c r="O1582" i="2"/>
  <c r="O1583" i="2"/>
  <c r="O1584" i="2"/>
  <c r="O1585" i="2"/>
  <c r="O1586" i="2"/>
  <c r="O1589" i="2"/>
  <c r="O1590" i="2"/>
  <c r="O1593" i="2"/>
  <c r="O1594" i="2"/>
  <c r="O1595" i="2"/>
  <c r="O1596" i="2"/>
  <c r="O1597" i="2"/>
  <c r="O1598" i="2"/>
  <c r="O1599" i="2"/>
  <c r="O1600" i="2"/>
  <c r="O1601" i="2"/>
  <c r="O1602" i="2"/>
  <c r="O1604" i="2"/>
  <c r="O1613" i="2"/>
  <c r="O1614" i="2"/>
  <c r="O1617" i="2"/>
  <c r="O1618" i="2"/>
  <c r="O1619" i="2"/>
  <c r="O1621" i="2"/>
  <c r="O1622" i="2"/>
  <c r="O1623" i="2"/>
  <c r="O1625" i="2"/>
  <c r="O1628" i="2"/>
  <c r="O1629" i="2"/>
  <c r="O1630" i="2"/>
  <c r="O1631" i="2"/>
  <c r="O1634" i="2"/>
  <c r="O1635" i="2"/>
  <c r="O1637" i="2"/>
  <c r="O1639" i="2"/>
  <c r="O1641" i="2"/>
  <c r="O1642" i="2"/>
  <c r="O1644" i="2"/>
  <c r="O1646" i="2"/>
  <c r="O1649" i="2"/>
  <c r="O1650" i="2"/>
  <c r="O1654" i="2"/>
  <c r="O1663" i="2"/>
  <c r="O1664" i="2"/>
  <c r="O1665" i="2"/>
  <c r="O1666" i="2"/>
  <c r="O1667" i="2"/>
  <c r="O1671" i="2"/>
  <c r="O1674" i="2"/>
  <c r="O1677" i="2"/>
  <c r="O1678" i="2"/>
  <c r="O1679" i="2"/>
  <c r="O1683" i="2"/>
  <c r="O1684" i="2"/>
  <c r="O1685" i="2"/>
  <c r="O1687" i="2"/>
  <c r="O1688" i="2"/>
  <c r="O1691" i="2"/>
  <c r="O1695" i="2"/>
  <c r="O1696" i="2"/>
  <c r="O1697" i="2"/>
  <c r="O1698" i="2"/>
  <c r="O1700" i="2"/>
  <c r="O1701" i="2"/>
  <c r="O1702" i="2"/>
  <c r="O1705" i="2"/>
  <c r="O1708" i="2"/>
  <c r="O1709" i="2"/>
  <c r="O1710" i="2"/>
  <c r="O1711" i="2"/>
  <c r="O1713" i="2"/>
  <c r="O1714" i="2"/>
  <c r="O1715" i="2"/>
  <c r="O1717" i="2"/>
  <c r="O1718" i="2"/>
  <c r="O1724" i="2"/>
  <c r="O1725" i="2"/>
  <c r="O1728" i="2"/>
  <c r="O9" i="2"/>
  <c r="G1731" i="2" l="1"/>
  <c r="I1731" i="2"/>
  <c r="N1" i="2" l="1"/>
  <c r="S15" i="7" l="1"/>
  <c r="R15" i="7"/>
  <c r="R16" i="7"/>
  <c r="P15" i="7"/>
  <c r="P16" i="7"/>
  <c r="N15" i="7"/>
  <c r="N16" i="7"/>
  <c r="L15" i="7"/>
  <c r="L16" i="7"/>
  <c r="J15" i="7"/>
  <c r="J16" i="7"/>
  <c r="H15" i="7"/>
  <c r="H16" i="7"/>
  <c r="F15" i="7"/>
  <c r="F16" i="7"/>
  <c r="D15" i="7"/>
  <c r="D16" i="7"/>
  <c r="B16" i="7"/>
  <c r="S16" i="7" s="1"/>
  <c r="B15" i="7"/>
  <c r="D5" i="7"/>
  <c r="F5" i="7"/>
  <c r="H5" i="7"/>
  <c r="J5" i="7"/>
  <c r="L5" i="7"/>
  <c r="N5" i="7"/>
  <c r="P5" i="7"/>
  <c r="R5" i="7"/>
  <c r="D6" i="7"/>
  <c r="F6" i="7"/>
  <c r="H6" i="7"/>
  <c r="J6" i="7"/>
  <c r="L6" i="7"/>
  <c r="N6" i="7"/>
  <c r="P6" i="7"/>
  <c r="R6" i="7"/>
  <c r="D7" i="7"/>
  <c r="F7" i="7"/>
  <c r="H7" i="7"/>
  <c r="J7" i="7"/>
  <c r="L7" i="7"/>
  <c r="N7" i="7"/>
  <c r="P7" i="7"/>
  <c r="R7" i="7"/>
  <c r="D8" i="7"/>
  <c r="F8" i="7"/>
  <c r="H8" i="7"/>
  <c r="J8" i="7"/>
  <c r="L8" i="7"/>
  <c r="N8" i="7"/>
  <c r="P8" i="7"/>
  <c r="R8" i="7"/>
  <c r="D9" i="7"/>
  <c r="F9" i="7"/>
  <c r="H9" i="7"/>
  <c r="J9" i="7"/>
  <c r="L9" i="7"/>
  <c r="N9" i="7"/>
  <c r="P9" i="7"/>
  <c r="R9" i="7"/>
  <c r="D10" i="7"/>
  <c r="F10" i="7"/>
  <c r="H10" i="7"/>
  <c r="J10" i="7"/>
  <c r="S10" i="7" s="1"/>
  <c r="L10" i="7"/>
  <c r="N10" i="7"/>
  <c r="P10" i="7"/>
  <c r="R10" i="7"/>
  <c r="D11" i="7"/>
  <c r="F11" i="7"/>
  <c r="H11" i="7"/>
  <c r="J11" i="7"/>
  <c r="L11" i="7"/>
  <c r="N11" i="7"/>
  <c r="P11" i="7"/>
  <c r="R11" i="7"/>
  <c r="D12" i="7"/>
  <c r="F12" i="7"/>
  <c r="H12" i="7"/>
  <c r="J12" i="7"/>
  <c r="L12" i="7"/>
  <c r="N12" i="7"/>
  <c r="P12" i="7"/>
  <c r="R12" i="7"/>
  <c r="D13" i="7"/>
  <c r="F13" i="7"/>
  <c r="H13" i="7"/>
  <c r="J13" i="7"/>
  <c r="L13" i="7"/>
  <c r="N13" i="7"/>
  <c r="P13" i="7"/>
  <c r="R13" i="7"/>
  <c r="D14" i="7"/>
  <c r="F14" i="7"/>
  <c r="H14" i="7"/>
  <c r="J14" i="7"/>
  <c r="L14" i="7"/>
  <c r="N14" i="7"/>
  <c r="P14" i="7"/>
  <c r="R14" i="7"/>
  <c r="S14" i="7" l="1"/>
  <c r="S12" i="7"/>
  <c r="S11" i="7"/>
  <c r="S9" i="7"/>
  <c r="S13" i="7"/>
  <c r="S5" i="7"/>
  <c r="S6" i="7"/>
  <c r="S7" i="7"/>
  <c r="S8" i="7"/>
  <c r="H1731" i="2"/>
  <c r="L1" i="2" s="1"/>
  <c r="A526" i="2"/>
  <c r="A1658" i="2"/>
  <c r="A681" i="2"/>
  <c r="A447" i="2"/>
  <c r="A731" i="2"/>
  <c r="A1259" i="2"/>
  <c r="A344" i="2"/>
  <c r="A730" i="2"/>
  <c r="A1200" i="2"/>
  <c r="A256" i="2"/>
  <c r="A490" i="2"/>
  <c r="A1239" i="2"/>
  <c r="A142" i="2"/>
  <c r="A718" i="2"/>
  <c r="A96" i="2"/>
  <c r="A1109" i="2"/>
  <c r="A1530" i="2"/>
  <c r="A849" i="2"/>
  <c r="A345" i="2"/>
  <c r="A85" i="2"/>
  <c r="A1284" i="2"/>
  <c r="A1522" i="2"/>
  <c r="A1579" i="2"/>
  <c r="A298" i="2"/>
  <c r="A719" i="2"/>
  <c r="A386" i="2"/>
  <c r="A1104" i="2"/>
  <c r="A617" i="2"/>
  <c r="A942" i="2"/>
  <c r="A571" i="2"/>
  <c r="A751" i="2"/>
  <c r="A851" i="2"/>
  <c r="A791" i="2"/>
  <c r="A1045" i="2"/>
  <c r="A953" i="2"/>
  <c r="A442" i="2"/>
  <c r="A996" i="2"/>
  <c r="A637" i="2"/>
  <c r="A222" i="2"/>
  <c r="A636" i="2"/>
  <c r="A402" i="2"/>
  <c r="A395" i="2"/>
  <c r="A417" i="2"/>
  <c r="A732" i="2"/>
  <c r="A985" i="2"/>
  <c r="A1587" i="2"/>
  <c r="A624" i="2"/>
  <c r="A276" i="2"/>
  <c r="A634" i="2"/>
  <c r="A1573" i="2"/>
  <c r="A374" i="2"/>
  <c r="A377" i="2"/>
  <c r="A847" i="2"/>
  <c r="A508" i="2"/>
  <c r="A825" i="2"/>
  <c r="A626" i="2"/>
  <c r="A378" i="2"/>
  <c r="A652" i="2"/>
  <c r="A1356" i="2"/>
  <c r="A716" i="2"/>
  <c r="A558" i="2"/>
  <c r="A691" i="2"/>
  <c r="A1547" i="2"/>
  <c r="A1682" i="2"/>
  <c r="A1260" i="2"/>
  <c r="A132" i="2"/>
  <c r="A1722" i="2"/>
  <c r="A1029" i="2"/>
  <c r="A202" i="2"/>
  <c r="A347" i="2"/>
  <c r="A1151" i="2"/>
  <c r="A297" i="2"/>
  <c r="A363" i="2"/>
  <c r="A1130" i="2"/>
  <c r="A1707" i="2"/>
  <c r="A1153" i="2"/>
  <c r="A1612" i="2"/>
  <c r="A595" i="2"/>
  <c r="A1205" i="2"/>
  <c r="A692" i="2"/>
  <c r="A1467" i="2"/>
  <c r="A853" i="2"/>
  <c r="A14" i="2"/>
  <c r="A456" i="2"/>
  <c r="A1420" i="2"/>
  <c r="A1668" i="2"/>
  <c r="A1207" i="2"/>
  <c r="A912" i="2"/>
  <c r="A439" i="2"/>
  <c r="A1242" i="2"/>
  <c r="A3" i="2"/>
  <c r="A1611" i="2"/>
  <c r="A712" i="2"/>
  <c r="A36" i="2"/>
  <c r="A898" i="2"/>
  <c r="A895" i="2"/>
  <c r="A887" i="2"/>
  <c r="A421" i="2"/>
  <c r="A1391" i="2"/>
  <c r="A590" i="2"/>
  <c r="A612" i="2"/>
  <c r="A1514" i="2"/>
  <c r="A975" i="2"/>
  <c r="A314" i="2"/>
  <c r="A978" i="2"/>
  <c r="A200" i="2"/>
  <c r="A1620" i="2"/>
  <c r="A1689" i="2"/>
  <c r="A466" i="2"/>
  <c r="A1720" i="2"/>
  <c r="A896" i="2"/>
  <c r="A946" i="2"/>
  <c r="A1175" i="2"/>
  <c r="A544" i="2"/>
  <c r="A1564" i="2"/>
  <c r="A974" i="2"/>
  <c r="A886" i="2"/>
  <c r="A922" i="2"/>
  <c r="A989" i="2"/>
  <c r="A483" i="2"/>
  <c r="A216" i="2"/>
  <c r="A236" i="2"/>
  <c r="A1549" i="2"/>
  <c r="A1703" i="2"/>
  <c r="A428" i="2"/>
  <c r="A436" i="2"/>
  <c r="A668" i="2"/>
  <c r="A74" i="2"/>
  <c r="A196" i="2"/>
  <c r="A1633" i="2"/>
  <c r="A620" i="2"/>
  <c r="A856" i="2"/>
  <c r="A1468" i="2"/>
  <c r="A1179" i="2"/>
  <c r="A1146" i="2"/>
  <c r="A190" i="2"/>
  <c r="A701" i="2"/>
  <c r="A959" i="2"/>
  <c r="A1208" i="2"/>
  <c r="A1669" i="2"/>
  <c r="A1317" i="2"/>
  <c r="A206" i="2"/>
  <c r="A128" i="2"/>
  <c r="A515" i="2"/>
  <c r="A1145" i="2"/>
  <c r="A205" i="2"/>
  <c r="A1489" i="2"/>
  <c r="A1395" i="2"/>
  <c r="A955" i="2"/>
  <c r="A171" i="2"/>
  <c r="A709" i="2"/>
  <c r="A1502" i="2"/>
  <c r="A1204" i="2"/>
  <c r="A198" i="2"/>
  <c r="A1326" i="2"/>
  <c r="A1727" i="2"/>
  <c r="A284" i="2"/>
  <c r="A664" i="2"/>
  <c r="A1378" i="2"/>
  <c r="A736" i="2"/>
  <c r="A444" i="2"/>
  <c r="A388" i="2"/>
  <c r="A1095" i="2"/>
  <c r="A1330" i="2"/>
  <c r="A365" i="2"/>
  <c r="A1299" i="2"/>
  <c r="A1320" i="2"/>
  <c r="A108" i="2"/>
  <c r="A1655" i="2"/>
  <c r="A376" i="2"/>
  <c r="A307" i="2"/>
  <c r="A1093" i="2"/>
  <c r="A90" i="2"/>
  <c r="A1591" i="2"/>
  <c r="A438" i="2"/>
  <c r="A75" i="2"/>
  <c r="A479" i="2"/>
  <c r="A1636" i="2"/>
  <c r="A1528" i="2"/>
  <c r="A1706" i="2"/>
  <c r="A1690" i="2"/>
  <c r="A381" i="2"/>
  <c r="A939" i="2"/>
  <c r="A1035" i="2"/>
  <c r="A133" i="2"/>
  <c r="A24" i="2"/>
  <c r="A420" i="2"/>
  <c r="A249" i="2"/>
  <c r="A1398" i="2"/>
  <c r="A155" i="2"/>
  <c r="A1491" i="2"/>
  <c r="A150" i="2"/>
  <c r="A888" i="2"/>
  <c r="A905" i="2"/>
  <c r="A465" i="2"/>
  <c r="A385" i="2"/>
  <c r="A156" i="2"/>
  <c r="A1704" i="2"/>
  <c r="A714" i="2"/>
  <c r="A1553" i="2"/>
  <c r="A687" i="2"/>
  <c r="A1653" i="2"/>
  <c r="A1652" i="2"/>
  <c r="A209" i="2"/>
  <c r="A1038" i="2"/>
  <c r="A839" i="2"/>
  <c r="A737" i="2"/>
  <c r="A1397" i="2"/>
  <c r="A686" i="2"/>
  <c r="A1457" i="2"/>
  <c r="A1632" i="2"/>
  <c r="A384" i="2"/>
  <c r="A1377" i="2"/>
  <c r="A1726" i="2"/>
  <c r="A372" i="2"/>
  <c r="A501" i="2"/>
  <c r="A1293" i="2"/>
  <c r="A713" i="2"/>
  <c r="A1519" i="2"/>
  <c r="A1712" i="2"/>
  <c r="A924" i="2"/>
  <c r="A25" i="2"/>
  <c r="A1562" i="2"/>
  <c r="A1144" i="2"/>
  <c r="A903" i="2"/>
  <c r="A106" i="2"/>
  <c r="A822" i="2"/>
  <c r="A596" i="2"/>
  <c r="A1071" i="2"/>
  <c r="A360" i="2"/>
  <c r="A1670" i="2"/>
  <c r="A566" i="2"/>
  <c r="A1039" i="2"/>
  <c r="A1469" i="2"/>
  <c r="A638" i="2"/>
  <c r="A1062" i="2"/>
  <c r="A1592" i="2"/>
  <c r="A1524" i="2"/>
  <c r="A1034" i="2"/>
  <c r="A393" i="2"/>
  <c r="A1719" i="2"/>
  <c r="A1215" i="2"/>
  <c r="A1036" i="2"/>
  <c r="A941" i="2"/>
  <c r="A151" i="2"/>
  <c r="A102" i="2"/>
  <c r="A685" i="2"/>
  <c r="A980" i="2"/>
  <c r="A1210" i="2"/>
  <c r="A268" i="2"/>
  <c r="A1076" i="2"/>
  <c r="A818" i="2"/>
  <c r="A482" i="2"/>
  <c r="A371" i="2"/>
  <c r="A1280" i="2"/>
  <c r="A1056" i="2"/>
  <c r="A109" i="2"/>
  <c r="A952" i="2"/>
  <c r="A215" i="2"/>
  <c r="A1492" i="2"/>
  <c r="A1277" i="2"/>
  <c r="A82" i="2"/>
  <c r="A1565" i="2"/>
  <c r="A1322" i="2"/>
  <c r="A153" i="2"/>
  <c r="A603" i="2"/>
  <c r="A1211" i="2"/>
  <c r="A1451" i="2"/>
  <c r="A450" i="2"/>
  <c r="A654" i="2"/>
  <c r="A1107" i="2"/>
  <c r="A1078" i="2"/>
  <c r="A684" i="2"/>
  <c r="A1676" i="2"/>
  <c r="A700" i="2"/>
  <c r="A807" i="2"/>
  <c r="A643" i="2"/>
  <c r="A995" i="2"/>
  <c r="A369" i="2"/>
  <c r="A401" i="2"/>
  <c r="A1721" i="2"/>
  <c r="A1558" i="2"/>
  <c r="A1041" i="2"/>
  <c r="A210" i="2"/>
  <c r="A316" i="2"/>
  <c r="A826" i="2"/>
  <c r="A1557" i="2"/>
  <c r="A1219" i="2"/>
  <c r="A1399" i="2"/>
  <c r="A1429" i="2"/>
  <c r="A1094" i="2"/>
  <c r="A1000" i="2"/>
  <c r="A919" i="2"/>
  <c r="A1357" i="2"/>
  <c r="A16" i="2"/>
  <c r="A1241" i="2"/>
  <c r="A1379" i="2"/>
  <c r="A55" i="2"/>
  <c r="A748" i="2"/>
  <c r="A494" i="2"/>
  <c r="A753" i="2"/>
  <c r="A367" i="2"/>
  <c r="A1659" i="2"/>
  <c r="A419" i="2"/>
  <c r="A362" i="2"/>
  <c r="A1087" i="2"/>
  <c r="A815" i="2"/>
  <c r="A348" i="2"/>
  <c r="A683" i="2"/>
  <c r="A834" i="2"/>
  <c r="A105" i="2"/>
  <c r="A405" i="2"/>
  <c r="A331" i="2"/>
  <c r="A1040" i="2"/>
  <c r="A366" i="2"/>
  <c r="A1279" i="2"/>
  <c r="A915" i="2"/>
  <c r="A295" i="2"/>
  <c r="A866" i="2"/>
  <c r="A929" i="2"/>
  <c r="A653" i="2"/>
  <c r="A1533" i="2"/>
  <c r="A1218" i="2"/>
  <c r="A356" i="2"/>
  <c r="A22" i="2"/>
  <c r="A843" i="2"/>
  <c r="A379" i="2"/>
  <c r="A729" i="2"/>
  <c r="A1152" i="2"/>
  <c r="A1121" i="2"/>
  <c r="A819" i="2"/>
  <c r="A577" i="2"/>
  <c r="A135" i="2"/>
  <c r="A777" i="2"/>
  <c r="A821" i="2"/>
  <c r="A960" i="2"/>
  <c r="A817" i="2"/>
  <c r="A1192" i="2"/>
  <c r="A702" i="2"/>
  <c r="A722" i="2"/>
  <c r="A364" i="2"/>
  <c r="A610" i="2"/>
  <c r="A1061" i="2"/>
  <c r="A838" i="2"/>
  <c r="A556" i="2"/>
  <c r="A1513" i="2"/>
  <c r="A1051" i="2"/>
  <c r="A1274" i="2"/>
  <c r="A1605" i="2"/>
  <c r="A809" i="2"/>
  <c r="A398" i="2"/>
  <c r="A1143" i="2"/>
  <c r="A1496" i="2"/>
  <c r="A152" i="2"/>
  <c r="A277" i="2"/>
  <c r="A1403" i="2"/>
  <c r="A1243" i="2"/>
  <c r="A1455" i="2"/>
  <c r="A383" i="2"/>
  <c r="A375" i="2"/>
  <c r="A823" i="2"/>
  <c r="A1560" i="2"/>
  <c r="A1031" i="2"/>
  <c r="A1414" i="2"/>
  <c r="A1430" i="2"/>
  <c r="A808" i="2"/>
  <c r="A1089" i="2"/>
  <c r="A1559" i="2"/>
  <c r="A100" i="2"/>
  <c r="A625" i="2"/>
  <c r="A756" i="2"/>
  <c r="A816" i="2"/>
  <c r="A1220" i="2"/>
  <c r="A261" i="2"/>
  <c r="A655" i="2"/>
  <c r="A1640" i="2"/>
  <c r="A1084" i="2"/>
  <c r="A21" i="2"/>
  <c r="A758" i="2"/>
  <c r="A1657" i="2"/>
  <c r="A774" i="2"/>
  <c r="A921" i="2"/>
  <c r="A1092" i="2"/>
  <c r="A452" i="2"/>
  <c r="A892" i="2"/>
  <c r="A1055" i="2"/>
  <c r="A263" i="2"/>
  <c r="A492" i="2"/>
  <c r="A472" i="2"/>
  <c r="A1083" i="2"/>
  <c r="A949" i="2"/>
  <c r="A787" i="2"/>
  <c r="A1126" i="2"/>
  <c r="A769" i="2"/>
  <c r="A611" i="2"/>
  <c r="A1656" i="2"/>
  <c r="A551" i="2"/>
  <c r="A1016" i="2"/>
  <c r="A359" i="2"/>
  <c r="A1203" i="2"/>
  <c r="A908" i="2"/>
  <c r="A604" i="2"/>
  <c r="A1012" i="2"/>
  <c r="A1181" i="2"/>
  <c r="A615" i="2"/>
  <c r="A623" i="2"/>
  <c r="A1498" i="2"/>
  <c r="A213" i="2"/>
  <c r="A1400" i="2"/>
  <c r="A628" i="2"/>
  <c r="A833" i="2"/>
  <c r="A1091" i="2"/>
  <c r="A332" i="2"/>
  <c r="A768" i="2"/>
  <c r="A125" i="2"/>
  <c r="A1052" i="2"/>
  <c r="A627" i="2"/>
  <c r="A387" i="2"/>
  <c r="A1389" i="2"/>
  <c r="A1090" i="2"/>
  <c r="A368" i="2"/>
  <c r="A782" i="2"/>
  <c r="A786" i="2"/>
  <c r="A1440" i="2"/>
  <c r="A1128" i="2"/>
  <c r="A1298" i="2"/>
  <c r="A1222" i="2"/>
  <c r="A1249" i="2"/>
  <c r="A129" i="2"/>
  <c r="A797" i="2"/>
  <c r="A1037" i="2"/>
  <c r="A744" i="2"/>
  <c r="A46" i="2"/>
  <c r="A1120" i="2"/>
  <c r="A613" i="2"/>
  <c r="A1432" i="2"/>
  <c r="A801" i="2"/>
  <c r="A110" i="2"/>
  <c r="A831" i="2"/>
  <c r="A761" i="2"/>
  <c r="A820" i="2"/>
  <c r="A1475" i="2"/>
  <c r="A1566" i="2"/>
  <c r="A26" i="2"/>
  <c r="A1534" i="2"/>
  <c r="A772" i="2"/>
  <c r="A1154" i="2"/>
  <c r="A23" i="2"/>
  <c r="A1088" i="2"/>
  <c r="A665" i="2"/>
  <c r="A370" i="2"/>
  <c r="A1033" i="2"/>
  <c r="A1551" i="2"/>
  <c r="A806" i="2"/>
  <c r="A291" i="2"/>
  <c r="A1138" i="2"/>
  <c r="A1694" i="2"/>
  <c r="A197" i="2"/>
  <c r="A275" i="2"/>
  <c r="A380" i="2"/>
  <c r="A1276" i="2"/>
  <c r="A506" i="2"/>
  <c r="A1494" i="2"/>
  <c r="A1182" i="2"/>
  <c r="A770" i="2"/>
  <c r="A830" i="2"/>
  <c r="A1495" i="2"/>
  <c r="A361" i="2"/>
  <c r="A480" i="2"/>
  <c r="A382" i="2"/>
  <c r="A1117" i="2"/>
  <c r="A940" i="2"/>
  <c r="A338" i="2"/>
  <c r="A233" i="2"/>
  <c r="A391" i="2"/>
  <c r="A340" i="2"/>
  <c r="A453" i="2"/>
  <c r="A357" i="2"/>
  <c r="A597" i="2"/>
  <c r="A521" i="2"/>
  <c r="A1053" i="2"/>
  <c r="A463" i="2"/>
  <c r="A1561" i="2"/>
  <c r="A848" i="2"/>
  <c r="A358" i="2"/>
  <c r="A289" i="2"/>
  <c r="A799" i="2"/>
  <c r="A1262" i="2"/>
  <c r="A835" i="2"/>
  <c r="A824" i="2"/>
  <c r="A1616" i="2"/>
  <c r="A309" i="2"/>
  <c r="A614" i="2"/>
  <c r="A555" i="2"/>
  <c r="A829" i="2"/>
  <c r="A785" i="2"/>
  <c r="A733" i="2"/>
  <c r="A717" i="2"/>
  <c r="A290" i="2"/>
  <c r="A739" i="2"/>
  <c r="A541" i="2"/>
  <c r="A1493" i="2"/>
  <c r="A524" i="2"/>
  <c r="A1100" i="2"/>
  <c r="A179" i="2"/>
  <c r="A695" i="2"/>
  <c r="A274" i="2"/>
  <c r="A812" i="2"/>
  <c r="A390" i="2"/>
  <c r="A273" i="2"/>
  <c r="A790" i="2"/>
  <c r="A523" i="2"/>
  <c r="A349" i="2"/>
  <c r="A560" i="2"/>
  <c r="A1486" i="2"/>
  <c r="A1472" i="2"/>
  <c r="A531" i="2"/>
  <c r="A497" i="2"/>
  <c r="A828" i="2"/>
  <c r="A229" i="2"/>
  <c r="A1626" i="2"/>
  <c r="A836" i="2"/>
  <c r="A1103" i="2"/>
  <c r="A616" i="2"/>
  <c r="A516" i="2"/>
  <c r="A738" i="2"/>
  <c r="A796" i="2"/>
  <c r="A329" i="2"/>
  <c r="A1275" i="2"/>
  <c r="A408" i="2"/>
  <c r="A1225" i="2"/>
  <c r="A330" i="2"/>
  <c r="A811" i="2"/>
  <c r="A832" i="2"/>
  <c r="A493" i="2"/>
  <c r="A784" i="2"/>
  <c r="A1167" i="2"/>
  <c r="A107" i="2"/>
  <c r="A389" i="2"/>
  <c r="A794" i="2"/>
  <c r="A911" i="2"/>
  <c r="A201" i="2"/>
  <c r="A334" i="2"/>
  <c r="A621" i="2"/>
  <c r="A618" i="2"/>
  <c r="A407" i="2"/>
  <c r="A373" i="2"/>
  <c r="A543" i="2"/>
  <c r="A122" i="2"/>
  <c r="A311" i="2"/>
  <c r="A540" i="2"/>
  <c r="A91" i="2"/>
  <c r="A1556" i="2"/>
  <c r="A1497" i="2"/>
  <c r="A742" i="2"/>
  <c r="A813" i="2"/>
  <c r="A495" i="2"/>
  <c r="A837" i="2"/>
  <c r="A306" i="2"/>
  <c r="A1541" i="2"/>
  <c r="A315" i="2"/>
  <c r="A1278" i="2"/>
  <c r="A639" i="2"/>
  <c r="A1248" i="2"/>
  <c r="A1269" i="2"/>
  <c r="A754" i="2"/>
  <c r="A814" i="2"/>
  <c r="A1183" i="2"/>
  <c r="A622" i="2"/>
  <c r="A488" i="2"/>
  <c r="A827" i="2"/>
  <c r="A606" i="2"/>
  <c r="A619" i="2"/>
  <c r="A1525" i="2"/>
  <c r="A1648" i="2"/>
  <c r="A798" i="2"/>
  <c r="A569" i="2"/>
  <c r="A1334" i="2"/>
  <c r="A1481" i="2"/>
  <c r="A944" i="2"/>
  <c r="A1473" i="2"/>
  <c r="A230" i="2"/>
  <c r="A250" i="2"/>
  <c r="A451" i="2"/>
  <c r="A1536" i="2"/>
  <c r="A154" i="2"/>
  <c r="A759" i="2"/>
  <c r="A726" i="2"/>
  <c r="A805" i="2"/>
  <c r="A269" i="2"/>
  <c r="A640" i="2"/>
  <c r="A568" i="2"/>
  <c r="A771" i="2"/>
  <c r="A1509" i="2"/>
  <c r="A174" i="2"/>
  <c r="A725" i="2"/>
  <c r="A1339" i="2"/>
  <c r="A424" i="2"/>
  <c r="A1338" i="2"/>
  <c r="A846" i="2"/>
  <c r="A1661" i="2"/>
  <c r="A605" i="2"/>
  <c r="A724" i="2"/>
  <c r="A1507" i="2"/>
  <c r="A1127" i="2"/>
  <c r="A1535" i="2"/>
  <c r="A988" i="2"/>
  <c r="A303" i="2"/>
  <c r="A1020" i="2"/>
  <c r="A1647" i="2"/>
  <c r="A1680" i="2"/>
  <c r="A353" i="2"/>
  <c r="A964" i="2"/>
  <c r="A304" i="2"/>
  <c r="A67" i="2"/>
  <c r="A594" i="2"/>
  <c r="A68" i="2"/>
  <c r="A578" i="2"/>
  <c r="A505" i="2"/>
  <c r="A629" i="2"/>
  <c r="A1272" i="2"/>
  <c r="A217" i="2"/>
  <c r="A1180" i="2"/>
  <c r="A1554" i="2"/>
  <c r="A763" i="2"/>
  <c r="A1234" i="2"/>
  <c r="A1217" i="2"/>
  <c r="A721" i="2"/>
  <c r="A88" i="2"/>
  <c r="A145" i="2"/>
  <c r="A586" i="2"/>
  <c r="A933" i="2"/>
  <c r="A355" i="2"/>
  <c r="A317" i="2"/>
  <c r="A997" i="2"/>
  <c r="A1264" i="2"/>
  <c r="A545" i="2"/>
  <c r="A579" i="2"/>
  <c r="A642" i="2"/>
  <c r="A1479" i="2"/>
  <c r="A1651" i="2"/>
  <c r="A641" i="2"/>
  <c r="A1359" i="2"/>
  <c r="A1101" i="2"/>
  <c r="A1516" i="2"/>
  <c r="A581" i="2"/>
  <c r="A1382" i="2"/>
  <c r="A346" i="2"/>
  <c r="A1311" i="2"/>
  <c r="A1015" i="2"/>
  <c r="A299" i="2"/>
  <c r="A1112" i="2"/>
  <c r="A28" i="2"/>
  <c r="A804" i="2"/>
  <c r="A1230" i="2"/>
  <c r="A1576" i="2"/>
  <c r="A723" i="2"/>
  <c r="A1019" i="2"/>
  <c r="A42" i="2"/>
  <c r="A403" i="2"/>
  <c r="A868" i="2"/>
  <c r="A1546" i="2"/>
  <c r="A272" i="2"/>
  <c r="A1517" i="2"/>
  <c r="A1464" i="2"/>
  <c r="A392" i="2"/>
  <c r="A1563" i="2"/>
  <c r="A1580" i="2"/>
  <c r="A404" i="2"/>
  <c r="A962" i="2"/>
  <c r="A308" i="2"/>
  <c r="A680" i="2"/>
  <c r="A271" i="2"/>
  <c r="A264" i="2"/>
  <c r="A70" i="2"/>
  <c r="A1273" i="2"/>
  <c r="A520" i="2"/>
  <c r="A507" i="2"/>
  <c r="A800" i="2"/>
  <c r="A728" i="2"/>
  <c r="A570" i="2"/>
  <c r="A72" i="2"/>
  <c r="A286" i="2"/>
  <c r="A720" i="2"/>
  <c r="A1575" i="2"/>
  <c r="A841" i="2"/>
  <c r="A51" i="2"/>
  <c r="A1283" i="2"/>
  <c r="A1228" i="2"/>
  <c r="A475" i="2"/>
  <c r="A1238" i="2"/>
  <c r="A1505" i="2"/>
  <c r="A302" i="2"/>
  <c r="A301" i="2"/>
  <c r="A694" i="2"/>
  <c r="A557" i="2"/>
  <c r="A1699" i="2"/>
  <c r="A1223" i="2"/>
  <c r="A1058" i="2"/>
  <c r="A867" i="2"/>
  <c r="A1332" i="2"/>
  <c r="A457" i="2"/>
  <c r="A300" i="2"/>
  <c r="A448" i="2"/>
  <c r="A1410" i="2"/>
  <c r="A1406" i="2"/>
  <c r="A163" i="2"/>
  <c r="A92" i="2"/>
  <c r="A591" i="2"/>
  <c r="A1077" i="2"/>
  <c r="A183" i="2"/>
  <c r="A446" i="2"/>
  <c r="A1227" i="2"/>
  <c r="A1537" i="2"/>
  <c r="A1660" i="2"/>
  <c r="A752" i="2"/>
  <c r="A1059" i="2"/>
  <c r="A675" i="2"/>
  <c r="A576" i="2"/>
  <c r="A1645" i="2"/>
  <c r="B3" i="6"/>
  <c r="F3" i="6"/>
  <c r="H3" i="6"/>
  <c r="J3" i="6"/>
  <c r="B4" i="6"/>
  <c r="F4" i="6"/>
  <c r="H4" i="6"/>
  <c r="J4" i="6"/>
  <c r="B5" i="6"/>
  <c r="F5" i="6"/>
  <c r="H5" i="6"/>
  <c r="J5" i="6"/>
  <c r="B6" i="6"/>
  <c r="F6" i="6"/>
  <c r="H6" i="6"/>
  <c r="J6" i="6"/>
  <c r="B7" i="6"/>
  <c r="F7" i="6"/>
  <c r="H7" i="6"/>
  <c r="J7" i="6"/>
  <c r="B8" i="6"/>
  <c r="F8" i="6"/>
  <c r="H8" i="6"/>
  <c r="J8" i="6"/>
  <c r="B9" i="6"/>
  <c r="F9" i="6"/>
  <c r="H9" i="6"/>
  <c r="J9" i="6"/>
  <c r="B10" i="6"/>
  <c r="F10" i="6"/>
  <c r="H10" i="6"/>
  <c r="J10" i="6"/>
  <c r="B11" i="6"/>
  <c r="F11" i="6"/>
  <c r="H11" i="6"/>
  <c r="J11" i="6"/>
  <c r="B12" i="6"/>
  <c r="F12" i="6"/>
  <c r="H12" i="6"/>
  <c r="J12" i="6"/>
  <c r="B13" i="6"/>
  <c r="F13" i="6"/>
  <c r="H13" i="6"/>
  <c r="J13" i="6"/>
  <c r="B14" i="6"/>
  <c r="F14" i="6"/>
  <c r="H14" i="6"/>
  <c r="J14" i="6"/>
  <c r="B15" i="6"/>
  <c r="F15" i="6"/>
  <c r="H15" i="6"/>
  <c r="J15" i="6"/>
  <c r="B16" i="6"/>
  <c r="F16" i="6"/>
  <c r="H16" i="6"/>
  <c r="J16" i="6"/>
  <c r="B17" i="6"/>
  <c r="F17" i="6"/>
  <c r="H17" i="6"/>
  <c r="J17" i="6"/>
  <c r="B18" i="6"/>
  <c r="F18" i="6"/>
  <c r="H18" i="6"/>
  <c r="J18" i="6"/>
  <c r="B19" i="6"/>
  <c r="F19" i="6"/>
  <c r="H19" i="6"/>
  <c r="J19" i="6"/>
  <c r="B20" i="6"/>
  <c r="F20" i="6"/>
  <c r="H20" i="6"/>
  <c r="J20" i="6"/>
  <c r="B21" i="6"/>
  <c r="F21" i="6"/>
  <c r="H21" i="6"/>
  <c r="J21" i="6"/>
  <c r="B22" i="6"/>
  <c r="F22" i="6"/>
  <c r="H22" i="6"/>
  <c r="J22" i="6"/>
  <c r="B23" i="6"/>
  <c r="F23" i="6"/>
  <c r="H23" i="6"/>
  <c r="J23" i="6"/>
  <c r="B24" i="6"/>
  <c r="F24" i="6"/>
  <c r="H24" i="6"/>
  <c r="J24" i="6"/>
  <c r="B25" i="6"/>
  <c r="F25" i="6"/>
  <c r="H25" i="6"/>
  <c r="J25" i="6"/>
  <c r="B26" i="6"/>
  <c r="F26" i="6"/>
  <c r="H26" i="6"/>
  <c r="J26" i="6"/>
  <c r="B27" i="6"/>
  <c r="F27" i="6"/>
  <c r="H27" i="6"/>
  <c r="J27" i="6"/>
  <c r="B28" i="6"/>
  <c r="F28" i="6"/>
  <c r="H28" i="6"/>
  <c r="J28" i="6"/>
  <c r="B29" i="6"/>
  <c r="F29" i="6"/>
  <c r="H29" i="6"/>
  <c r="J29" i="6"/>
  <c r="B30" i="6"/>
  <c r="F30" i="6"/>
  <c r="H30" i="6"/>
  <c r="J30" i="6"/>
  <c r="B31" i="6"/>
  <c r="F31" i="6"/>
  <c r="H31" i="6"/>
  <c r="J31" i="6"/>
  <c r="B32" i="6"/>
  <c r="F32" i="6"/>
  <c r="H32" i="6"/>
  <c r="J32" i="6"/>
  <c r="B33" i="6"/>
  <c r="F33" i="6"/>
  <c r="H33" i="6"/>
  <c r="J33" i="6"/>
  <c r="B34" i="6"/>
  <c r="F34" i="6"/>
  <c r="H34" i="6"/>
  <c r="J34" i="6"/>
  <c r="B35" i="6"/>
  <c r="F35" i="6"/>
  <c r="H35" i="6"/>
  <c r="J35" i="6"/>
  <c r="B36" i="6"/>
  <c r="F36" i="6"/>
  <c r="H36" i="6"/>
  <c r="J36" i="6"/>
  <c r="B37" i="6"/>
  <c r="F37" i="6"/>
  <c r="H37" i="6"/>
  <c r="J37" i="6"/>
  <c r="B38" i="6"/>
  <c r="F38" i="6"/>
  <c r="H38" i="6"/>
  <c r="J38" i="6"/>
  <c r="B39" i="6"/>
  <c r="F39" i="6"/>
  <c r="H39" i="6"/>
  <c r="J39" i="6"/>
  <c r="B40" i="6"/>
  <c r="F40" i="6"/>
  <c r="H40" i="6"/>
  <c r="J40" i="6"/>
  <c r="B41" i="6"/>
  <c r="F41" i="6"/>
  <c r="H41" i="6"/>
  <c r="J41" i="6"/>
  <c r="B42" i="6"/>
  <c r="F42" i="6"/>
  <c r="H42" i="6"/>
  <c r="J42" i="6"/>
  <c r="B43" i="6"/>
  <c r="F43" i="6"/>
  <c r="H43" i="6"/>
  <c r="J43" i="6"/>
  <c r="B44" i="6"/>
  <c r="F44" i="6"/>
  <c r="H44" i="6"/>
  <c r="J44" i="6"/>
  <c r="B45" i="6"/>
  <c r="F45" i="6"/>
  <c r="H45" i="6"/>
  <c r="J45" i="6"/>
  <c r="B46" i="6"/>
  <c r="F46" i="6"/>
  <c r="H46" i="6"/>
  <c r="J46" i="6"/>
  <c r="B47" i="6"/>
  <c r="F47" i="6"/>
  <c r="H47" i="6"/>
  <c r="J47" i="6"/>
  <c r="B48" i="6"/>
  <c r="F48" i="6"/>
  <c r="H48" i="6"/>
  <c r="J48" i="6"/>
  <c r="B49" i="6"/>
  <c r="F49" i="6"/>
  <c r="H49" i="6"/>
  <c r="J49" i="6"/>
  <c r="B50" i="6"/>
  <c r="F50" i="6"/>
  <c r="H50" i="6"/>
  <c r="J50" i="6"/>
  <c r="B51" i="6"/>
  <c r="F51" i="6"/>
  <c r="H51" i="6"/>
  <c r="J51" i="6"/>
  <c r="B52" i="6"/>
  <c r="F52" i="6"/>
  <c r="H52" i="6"/>
  <c r="J52" i="6"/>
  <c r="B53" i="6"/>
  <c r="F53" i="6"/>
  <c r="H53" i="6"/>
  <c r="J53" i="6"/>
  <c r="B54" i="6"/>
  <c r="F54" i="6"/>
  <c r="H54" i="6"/>
  <c r="J54" i="6"/>
  <c r="B55" i="6"/>
  <c r="F55" i="6"/>
  <c r="H55" i="6"/>
  <c r="J55" i="6"/>
  <c r="B56" i="6"/>
  <c r="F56" i="6"/>
  <c r="H56" i="6"/>
  <c r="J56" i="6"/>
  <c r="B57" i="6"/>
  <c r="F57" i="6"/>
  <c r="H57" i="6"/>
  <c r="J57" i="6"/>
  <c r="B58" i="6"/>
  <c r="F58" i="6"/>
  <c r="H58" i="6"/>
  <c r="J58" i="6"/>
  <c r="B59" i="6"/>
  <c r="F59" i="6"/>
  <c r="H59" i="6"/>
  <c r="J59" i="6"/>
  <c r="B60" i="6"/>
  <c r="F60" i="6"/>
  <c r="H60" i="6"/>
  <c r="J60" i="6"/>
  <c r="B61" i="6"/>
  <c r="F61" i="6"/>
  <c r="H61" i="6"/>
  <c r="J61" i="6"/>
  <c r="B62" i="6"/>
  <c r="F62" i="6"/>
  <c r="H62" i="6"/>
  <c r="J62" i="6"/>
  <c r="B63" i="6"/>
  <c r="F63" i="6"/>
  <c r="H63" i="6"/>
  <c r="J63" i="6"/>
  <c r="B64" i="6"/>
  <c r="F64" i="6"/>
  <c r="H64" i="6"/>
  <c r="J64" i="6"/>
  <c r="B65" i="6"/>
  <c r="F65" i="6"/>
  <c r="H65" i="6"/>
  <c r="J65" i="6"/>
  <c r="B66" i="6"/>
  <c r="F66" i="6"/>
  <c r="H66" i="6"/>
  <c r="J66" i="6"/>
  <c r="B67" i="6"/>
  <c r="F67" i="6"/>
  <c r="H67" i="6"/>
  <c r="J67" i="6"/>
  <c r="B68" i="6"/>
  <c r="F68" i="6"/>
  <c r="H68" i="6"/>
  <c r="J68" i="6"/>
  <c r="B69" i="6"/>
  <c r="F69" i="6"/>
  <c r="H69" i="6"/>
  <c r="J69" i="6"/>
  <c r="B70" i="6"/>
  <c r="F70" i="6"/>
  <c r="H70" i="6"/>
  <c r="J70" i="6"/>
  <c r="B71" i="6"/>
  <c r="F71" i="6"/>
  <c r="H71" i="6"/>
  <c r="J71" i="6"/>
  <c r="B72" i="6"/>
  <c r="F72" i="6"/>
  <c r="H72" i="6"/>
  <c r="J72" i="6"/>
  <c r="B73" i="6"/>
  <c r="F73" i="6"/>
  <c r="H73" i="6"/>
  <c r="J73" i="6"/>
  <c r="B74" i="6"/>
  <c r="F74" i="6"/>
  <c r="H74" i="6"/>
  <c r="J74" i="6"/>
  <c r="B75" i="6"/>
  <c r="F75" i="6"/>
  <c r="H75" i="6"/>
  <c r="J75" i="6"/>
  <c r="B76" i="6"/>
  <c r="F76" i="6"/>
  <c r="H76" i="6"/>
  <c r="J76" i="6"/>
  <c r="B77" i="6"/>
  <c r="F77" i="6"/>
  <c r="H77" i="6"/>
  <c r="J77" i="6"/>
  <c r="B78" i="6"/>
  <c r="F78" i="6"/>
  <c r="H78" i="6"/>
  <c r="J78" i="6"/>
  <c r="B79" i="6"/>
  <c r="F79" i="6"/>
  <c r="H79" i="6"/>
  <c r="J79" i="6"/>
  <c r="B80" i="6"/>
  <c r="F80" i="6"/>
  <c r="H80" i="6"/>
  <c r="J80" i="6"/>
  <c r="B81" i="6"/>
  <c r="F81" i="6"/>
  <c r="H81" i="6"/>
  <c r="J81" i="6"/>
  <c r="B82" i="6"/>
  <c r="F82" i="6"/>
  <c r="H82" i="6"/>
  <c r="J82" i="6"/>
  <c r="B83" i="6"/>
  <c r="F83" i="6"/>
  <c r="H83" i="6"/>
  <c r="J83" i="6"/>
  <c r="B84" i="6"/>
  <c r="F84" i="6"/>
  <c r="H84" i="6"/>
  <c r="J84" i="6"/>
  <c r="B85" i="6"/>
  <c r="F85" i="6"/>
  <c r="H85" i="6"/>
  <c r="J85" i="6"/>
  <c r="B86" i="6"/>
  <c r="F86" i="6"/>
  <c r="H86" i="6"/>
  <c r="J86" i="6"/>
  <c r="B87" i="6"/>
  <c r="F87" i="6"/>
  <c r="H87" i="6"/>
  <c r="J87" i="6"/>
  <c r="B88" i="6"/>
  <c r="F88" i="6"/>
  <c r="H88" i="6"/>
  <c r="J88" i="6"/>
  <c r="B89" i="6"/>
  <c r="F89" i="6"/>
  <c r="H89" i="6"/>
  <c r="J89" i="6"/>
  <c r="B90" i="6"/>
  <c r="F90" i="6"/>
  <c r="H90" i="6"/>
  <c r="J90" i="6"/>
  <c r="B91" i="6"/>
  <c r="F91" i="6"/>
  <c r="H91" i="6"/>
  <c r="J91" i="6"/>
  <c r="B92" i="6"/>
  <c r="F92" i="6"/>
  <c r="H92" i="6"/>
  <c r="J92" i="6"/>
  <c r="B93" i="6"/>
  <c r="F93" i="6"/>
  <c r="H93" i="6"/>
  <c r="J93" i="6"/>
  <c r="B94" i="6"/>
  <c r="F94" i="6"/>
  <c r="H94" i="6"/>
  <c r="J94" i="6"/>
  <c r="B95" i="6"/>
  <c r="F95" i="6"/>
  <c r="H95" i="6"/>
  <c r="J95" i="6"/>
  <c r="B96" i="6"/>
  <c r="F96" i="6"/>
  <c r="H96" i="6"/>
  <c r="J96" i="6"/>
  <c r="B97" i="6"/>
  <c r="F97" i="6"/>
  <c r="H97" i="6"/>
  <c r="J97" i="6"/>
  <c r="B98" i="6"/>
  <c r="F98" i="6"/>
  <c r="H98" i="6"/>
  <c r="J98" i="6"/>
  <c r="B99" i="6"/>
  <c r="F99" i="6"/>
  <c r="H99" i="6"/>
  <c r="J99" i="6"/>
  <c r="B100" i="6"/>
  <c r="F100" i="6"/>
  <c r="H100" i="6"/>
  <c r="J100" i="6"/>
  <c r="B101" i="6"/>
  <c r="F101" i="6"/>
  <c r="H101" i="6"/>
  <c r="J101" i="6"/>
  <c r="B102" i="6"/>
  <c r="F102" i="6"/>
  <c r="H102" i="6"/>
  <c r="J102" i="6"/>
  <c r="B103" i="6"/>
  <c r="F103" i="6"/>
  <c r="H103" i="6"/>
  <c r="J103" i="6"/>
  <c r="B104" i="6"/>
  <c r="F104" i="6"/>
  <c r="H104" i="6"/>
  <c r="J104" i="6"/>
  <c r="B105" i="6"/>
  <c r="F105" i="6"/>
  <c r="H105" i="6"/>
  <c r="J105" i="6"/>
  <c r="B106" i="6"/>
  <c r="F106" i="6"/>
  <c r="H106" i="6"/>
  <c r="J106" i="6"/>
  <c r="B107" i="6"/>
  <c r="F107" i="6"/>
  <c r="H107" i="6"/>
  <c r="J107" i="6"/>
  <c r="B108" i="6"/>
  <c r="F108" i="6"/>
  <c r="H108" i="6"/>
  <c r="J108" i="6"/>
  <c r="B109" i="6"/>
  <c r="F109" i="6"/>
  <c r="H109" i="6"/>
  <c r="J109" i="6"/>
  <c r="B110" i="6"/>
  <c r="F110" i="6"/>
  <c r="H110" i="6"/>
  <c r="J110" i="6"/>
  <c r="B111" i="6"/>
  <c r="F111" i="6"/>
  <c r="H111" i="6"/>
  <c r="J111" i="6"/>
  <c r="B112" i="6"/>
  <c r="F112" i="6"/>
  <c r="H112" i="6"/>
  <c r="J112" i="6"/>
  <c r="B113" i="6"/>
  <c r="F113" i="6"/>
  <c r="H113" i="6"/>
  <c r="J113" i="6"/>
  <c r="B114" i="6"/>
  <c r="F114" i="6"/>
  <c r="H114" i="6"/>
  <c r="J114" i="6"/>
  <c r="B115" i="6"/>
  <c r="F115" i="6"/>
  <c r="H115" i="6"/>
  <c r="J115" i="6"/>
  <c r="B116" i="6"/>
  <c r="F116" i="6"/>
  <c r="H116" i="6"/>
  <c r="J116" i="6"/>
  <c r="B117" i="6"/>
  <c r="F117" i="6"/>
  <c r="H117" i="6"/>
  <c r="J117" i="6"/>
  <c r="B118" i="6"/>
  <c r="F118" i="6"/>
  <c r="H118" i="6"/>
  <c r="J118" i="6"/>
  <c r="B119" i="6"/>
  <c r="F119" i="6"/>
  <c r="H119" i="6"/>
  <c r="J119" i="6"/>
  <c r="B120" i="6"/>
  <c r="F120" i="6"/>
  <c r="H120" i="6"/>
  <c r="J120" i="6"/>
  <c r="B121" i="6"/>
  <c r="F121" i="6"/>
  <c r="H121" i="6"/>
  <c r="J121" i="6"/>
  <c r="B122" i="6"/>
  <c r="F122" i="6"/>
  <c r="H122" i="6"/>
  <c r="J122" i="6"/>
  <c r="B123" i="6"/>
  <c r="F123" i="6"/>
  <c r="H123" i="6"/>
  <c r="J123" i="6"/>
  <c r="B124" i="6"/>
  <c r="F124" i="6"/>
  <c r="H124" i="6"/>
  <c r="J124" i="6"/>
  <c r="B125" i="6"/>
  <c r="F125" i="6"/>
  <c r="H125" i="6"/>
  <c r="J125" i="6"/>
  <c r="B126" i="6"/>
  <c r="F126" i="6"/>
  <c r="H126" i="6"/>
  <c r="J126" i="6"/>
  <c r="B127" i="6"/>
  <c r="F127" i="6"/>
  <c r="H127" i="6"/>
  <c r="J127" i="6"/>
  <c r="B128" i="6"/>
  <c r="F128" i="6"/>
  <c r="H128" i="6"/>
  <c r="J128" i="6"/>
  <c r="B129" i="6"/>
  <c r="F129" i="6"/>
  <c r="H129" i="6"/>
  <c r="J129" i="6"/>
  <c r="B130" i="6"/>
  <c r="F130" i="6"/>
  <c r="H130" i="6"/>
  <c r="J130" i="6"/>
  <c r="B131" i="6"/>
  <c r="F131" i="6"/>
  <c r="H131" i="6"/>
  <c r="J131" i="6"/>
  <c r="B132" i="6"/>
  <c r="F132" i="6"/>
  <c r="H132" i="6"/>
  <c r="J132" i="6"/>
  <c r="B133" i="6"/>
  <c r="F133" i="6"/>
  <c r="H133" i="6"/>
  <c r="J133" i="6"/>
  <c r="B134" i="6"/>
  <c r="F134" i="6"/>
  <c r="H134" i="6"/>
  <c r="J134" i="6"/>
  <c r="B135" i="6"/>
  <c r="F135" i="6"/>
  <c r="H135" i="6"/>
  <c r="J135" i="6"/>
  <c r="B136" i="6"/>
  <c r="F136" i="6"/>
  <c r="H136" i="6"/>
  <c r="J136" i="6"/>
  <c r="B137" i="6"/>
  <c r="F137" i="6"/>
  <c r="H137" i="6"/>
  <c r="J137" i="6"/>
  <c r="B138" i="6"/>
  <c r="F138" i="6"/>
  <c r="H138" i="6"/>
  <c r="J138" i="6"/>
  <c r="B139" i="6"/>
  <c r="F139" i="6"/>
  <c r="H139" i="6"/>
  <c r="J139" i="6"/>
  <c r="B140" i="6"/>
  <c r="F140" i="6"/>
  <c r="H140" i="6"/>
  <c r="J140" i="6"/>
  <c r="B141" i="6"/>
  <c r="F141" i="6"/>
  <c r="H141" i="6"/>
  <c r="J141" i="6"/>
  <c r="B142" i="6"/>
  <c r="F142" i="6"/>
  <c r="H142" i="6"/>
  <c r="J142" i="6"/>
  <c r="B143" i="6"/>
  <c r="F143" i="6"/>
  <c r="H143" i="6"/>
  <c r="J143" i="6"/>
  <c r="B144" i="6"/>
  <c r="F144" i="6"/>
  <c r="H144" i="6"/>
  <c r="J144" i="6"/>
  <c r="B145" i="6"/>
  <c r="F145" i="6"/>
  <c r="H145" i="6"/>
  <c r="J145" i="6"/>
  <c r="B146" i="6"/>
  <c r="F146" i="6"/>
  <c r="H146" i="6"/>
  <c r="J146" i="6"/>
  <c r="B147" i="6"/>
  <c r="F147" i="6"/>
  <c r="H147" i="6"/>
  <c r="J147" i="6"/>
  <c r="B148" i="6"/>
  <c r="F148" i="6"/>
  <c r="H148" i="6"/>
  <c r="J148" i="6"/>
  <c r="B149" i="6"/>
  <c r="F149" i="6"/>
  <c r="H149" i="6"/>
  <c r="J149" i="6"/>
  <c r="B150" i="6"/>
  <c r="F150" i="6"/>
  <c r="H150" i="6"/>
  <c r="J150" i="6"/>
  <c r="B151" i="6"/>
  <c r="F151" i="6"/>
  <c r="H151" i="6"/>
  <c r="J151" i="6"/>
  <c r="B152" i="6"/>
  <c r="F152" i="6"/>
  <c r="H152" i="6"/>
  <c r="J152" i="6"/>
  <c r="B153" i="6"/>
  <c r="F153" i="6"/>
  <c r="H153" i="6"/>
  <c r="J153" i="6"/>
  <c r="B154" i="6"/>
  <c r="F154" i="6"/>
  <c r="H154" i="6"/>
  <c r="J154" i="6"/>
  <c r="B155" i="6"/>
  <c r="F155" i="6"/>
  <c r="H155" i="6"/>
  <c r="J155" i="6"/>
  <c r="B156" i="6"/>
  <c r="F156" i="6"/>
  <c r="H156" i="6"/>
  <c r="J156" i="6"/>
  <c r="B157" i="6"/>
  <c r="F157" i="6"/>
  <c r="H157" i="6"/>
  <c r="J157" i="6"/>
  <c r="B158" i="6"/>
  <c r="F158" i="6"/>
  <c r="H158" i="6"/>
  <c r="J158" i="6"/>
  <c r="B159" i="6"/>
  <c r="F159" i="6"/>
  <c r="H159" i="6"/>
  <c r="J159" i="6"/>
  <c r="B160" i="6"/>
  <c r="F160" i="6"/>
  <c r="H160" i="6"/>
  <c r="J160" i="6"/>
  <c r="B161" i="6"/>
  <c r="F161" i="6"/>
  <c r="H161" i="6"/>
  <c r="J161" i="6"/>
  <c r="B162" i="6"/>
  <c r="F162" i="6"/>
  <c r="H162" i="6"/>
  <c r="J162" i="6"/>
  <c r="B163" i="6"/>
  <c r="F163" i="6"/>
  <c r="H163" i="6"/>
  <c r="J163" i="6"/>
  <c r="B164" i="6"/>
  <c r="F164" i="6"/>
  <c r="H164" i="6"/>
  <c r="J164" i="6"/>
  <c r="B165" i="6"/>
  <c r="F165" i="6"/>
  <c r="H165" i="6"/>
  <c r="J165" i="6"/>
  <c r="B166" i="6"/>
  <c r="F166" i="6"/>
  <c r="H166" i="6"/>
  <c r="J166" i="6"/>
  <c r="B167" i="6"/>
  <c r="F167" i="6"/>
  <c r="H167" i="6"/>
  <c r="J167" i="6"/>
  <c r="B168" i="6"/>
  <c r="F168" i="6"/>
  <c r="H168" i="6"/>
  <c r="J168" i="6"/>
  <c r="B169" i="6"/>
  <c r="F169" i="6"/>
  <c r="H169" i="6"/>
  <c r="J169" i="6"/>
  <c r="B170" i="6"/>
  <c r="F170" i="6"/>
  <c r="H170" i="6"/>
  <c r="J170" i="6"/>
  <c r="B171" i="6"/>
  <c r="F171" i="6"/>
  <c r="H171" i="6"/>
  <c r="J171" i="6"/>
  <c r="B172" i="6"/>
  <c r="F172" i="6"/>
  <c r="H172" i="6"/>
  <c r="J172" i="6"/>
  <c r="B173" i="6"/>
  <c r="F173" i="6"/>
  <c r="H173" i="6"/>
  <c r="J173" i="6"/>
  <c r="B174" i="6"/>
  <c r="F174" i="6"/>
  <c r="H174" i="6"/>
  <c r="J174" i="6"/>
  <c r="B175" i="6"/>
  <c r="F175" i="6"/>
  <c r="H175" i="6"/>
  <c r="J175" i="6"/>
  <c r="B176" i="6"/>
  <c r="F176" i="6"/>
  <c r="H176" i="6"/>
  <c r="J176" i="6"/>
  <c r="B177" i="6"/>
  <c r="F177" i="6"/>
  <c r="H177" i="6"/>
  <c r="J177" i="6"/>
  <c r="B178" i="6"/>
  <c r="F178" i="6"/>
  <c r="H178" i="6"/>
  <c r="J178" i="6"/>
  <c r="B179" i="6"/>
  <c r="F179" i="6"/>
  <c r="H179" i="6"/>
  <c r="J179" i="6"/>
  <c r="B180" i="6"/>
  <c r="F180" i="6"/>
  <c r="H180" i="6"/>
  <c r="J180" i="6"/>
  <c r="B181" i="6"/>
  <c r="F181" i="6"/>
  <c r="H181" i="6"/>
  <c r="J181" i="6"/>
  <c r="B182" i="6"/>
  <c r="F182" i="6"/>
  <c r="H182" i="6"/>
  <c r="J182" i="6"/>
  <c r="B183" i="6"/>
  <c r="F183" i="6"/>
  <c r="H183" i="6"/>
  <c r="J183" i="6"/>
  <c r="B184" i="6"/>
  <c r="F184" i="6"/>
  <c r="H184" i="6"/>
  <c r="J184" i="6"/>
  <c r="B185" i="6"/>
  <c r="F185" i="6"/>
  <c r="H185" i="6"/>
  <c r="J185" i="6"/>
  <c r="B186" i="6"/>
  <c r="F186" i="6"/>
  <c r="H186" i="6"/>
  <c r="J186" i="6"/>
  <c r="B187" i="6"/>
  <c r="F187" i="6"/>
  <c r="H187" i="6"/>
  <c r="J187" i="6"/>
  <c r="B188" i="6"/>
  <c r="F188" i="6"/>
  <c r="H188" i="6"/>
  <c r="J188" i="6"/>
  <c r="B189" i="6"/>
  <c r="F189" i="6"/>
  <c r="H189" i="6"/>
  <c r="J189" i="6"/>
  <c r="B190" i="6"/>
  <c r="F190" i="6"/>
  <c r="H190" i="6"/>
  <c r="J190" i="6"/>
  <c r="B191" i="6"/>
  <c r="F191" i="6"/>
  <c r="H191" i="6"/>
  <c r="J191" i="6"/>
  <c r="B192" i="6"/>
  <c r="F192" i="6"/>
  <c r="H192" i="6"/>
  <c r="J192" i="6"/>
  <c r="B193" i="6"/>
  <c r="F193" i="6"/>
  <c r="H193" i="6"/>
  <c r="J193" i="6"/>
  <c r="B194" i="6"/>
  <c r="F194" i="6"/>
  <c r="H194" i="6"/>
  <c r="J194" i="6"/>
  <c r="B195" i="6"/>
  <c r="F195" i="6"/>
  <c r="H195" i="6"/>
  <c r="J195" i="6"/>
  <c r="B196" i="6"/>
  <c r="F196" i="6"/>
  <c r="H196" i="6"/>
  <c r="J196" i="6"/>
  <c r="B197" i="6"/>
  <c r="F197" i="6"/>
  <c r="H197" i="6"/>
  <c r="J197" i="6"/>
  <c r="B198" i="6"/>
  <c r="F198" i="6"/>
  <c r="H198" i="6"/>
  <c r="J198" i="6"/>
  <c r="B199" i="6"/>
  <c r="F199" i="6"/>
  <c r="H199" i="6"/>
  <c r="J199" i="6"/>
  <c r="B200" i="6"/>
  <c r="F200" i="6"/>
  <c r="H200" i="6"/>
  <c r="J200" i="6"/>
  <c r="B201" i="6"/>
  <c r="F201" i="6"/>
  <c r="H201" i="6"/>
  <c r="J201" i="6"/>
  <c r="B202" i="6"/>
  <c r="F202" i="6"/>
  <c r="H202" i="6"/>
  <c r="J202" i="6"/>
  <c r="B203" i="6"/>
  <c r="F203" i="6"/>
  <c r="H203" i="6"/>
  <c r="J203" i="6"/>
  <c r="B204" i="6"/>
  <c r="F204" i="6"/>
  <c r="H204" i="6"/>
  <c r="J204" i="6"/>
  <c r="B205" i="6"/>
  <c r="F205" i="6"/>
  <c r="H205" i="6"/>
  <c r="J205" i="6"/>
  <c r="B206" i="6"/>
  <c r="F206" i="6"/>
  <c r="H206" i="6"/>
  <c r="J206" i="6"/>
  <c r="B207" i="6"/>
  <c r="F207" i="6"/>
  <c r="H207" i="6"/>
  <c r="J207" i="6"/>
  <c r="B208" i="6"/>
  <c r="F208" i="6"/>
  <c r="H208" i="6"/>
  <c r="J208" i="6"/>
  <c r="B209" i="6"/>
  <c r="F209" i="6"/>
  <c r="H209" i="6"/>
  <c r="J209" i="6"/>
  <c r="B210" i="6"/>
  <c r="F210" i="6"/>
  <c r="H210" i="6"/>
  <c r="J210" i="6"/>
  <c r="B211" i="6"/>
  <c r="F211" i="6"/>
  <c r="H211" i="6"/>
  <c r="J211" i="6"/>
  <c r="B212" i="6"/>
  <c r="F212" i="6"/>
  <c r="H212" i="6"/>
  <c r="J212" i="6"/>
  <c r="B213" i="6"/>
  <c r="F213" i="6"/>
  <c r="H213" i="6"/>
  <c r="J213" i="6"/>
  <c r="B214" i="6"/>
  <c r="F214" i="6"/>
  <c r="H214" i="6"/>
  <c r="J214" i="6"/>
  <c r="B215" i="6"/>
  <c r="F215" i="6"/>
  <c r="H215" i="6"/>
  <c r="J215" i="6"/>
  <c r="B216" i="6"/>
  <c r="F216" i="6"/>
  <c r="H216" i="6"/>
  <c r="J216" i="6"/>
  <c r="B217" i="6"/>
  <c r="F217" i="6"/>
  <c r="H217" i="6"/>
  <c r="J217" i="6"/>
  <c r="B218" i="6"/>
  <c r="F218" i="6"/>
  <c r="H218" i="6"/>
  <c r="J218" i="6"/>
  <c r="B219" i="6"/>
  <c r="F219" i="6"/>
  <c r="H219" i="6"/>
  <c r="J219" i="6"/>
  <c r="B220" i="6"/>
  <c r="F220" i="6"/>
  <c r="H220" i="6"/>
  <c r="J220" i="6"/>
  <c r="B221" i="6"/>
  <c r="F221" i="6"/>
  <c r="H221" i="6"/>
  <c r="J221" i="6"/>
  <c r="B222" i="6"/>
  <c r="F222" i="6"/>
  <c r="H222" i="6"/>
  <c r="J222" i="6"/>
  <c r="B223" i="6"/>
  <c r="F223" i="6"/>
  <c r="H223" i="6"/>
  <c r="J223" i="6"/>
  <c r="B224" i="6"/>
  <c r="F224" i="6"/>
  <c r="H224" i="6"/>
  <c r="J224" i="6"/>
  <c r="B225" i="6"/>
  <c r="F225" i="6"/>
  <c r="H225" i="6"/>
  <c r="J225" i="6"/>
  <c r="B226" i="6"/>
  <c r="F226" i="6"/>
  <c r="H226" i="6"/>
  <c r="J226" i="6"/>
  <c r="B227" i="6"/>
  <c r="F227" i="6"/>
  <c r="H227" i="6"/>
  <c r="J227" i="6"/>
  <c r="B228" i="6"/>
  <c r="F228" i="6"/>
  <c r="H228" i="6"/>
  <c r="J228" i="6"/>
  <c r="B229" i="6"/>
  <c r="F229" i="6"/>
  <c r="H229" i="6"/>
  <c r="J229" i="6"/>
  <c r="B230" i="6"/>
  <c r="F230" i="6"/>
  <c r="H230" i="6"/>
  <c r="J230" i="6"/>
  <c r="B231" i="6"/>
  <c r="F231" i="6"/>
  <c r="H231" i="6"/>
  <c r="J231" i="6"/>
  <c r="B232" i="6"/>
  <c r="F232" i="6"/>
  <c r="H232" i="6"/>
  <c r="J232" i="6"/>
  <c r="B233" i="6"/>
  <c r="F233" i="6"/>
  <c r="H233" i="6"/>
  <c r="J233" i="6"/>
  <c r="B234" i="6"/>
  <c r="F234" i="6"/>
  <c r="H234" i="6"/>
  <c r="J234" i="6"/>
  <c r="B235" i="6"/>
  <c r="F235" i="6"/>
  <c r="H235" i="6"/>
  <c r="J235" i="6"/>
  <c r="B236" i="6"/>
  <c r="F236" i="6"/>
  <c r="H236" i="6"/>
  <c r="J236" i="6"/>
  <c r="B237" i="6"/>
  <c r="F237" i="6"/>
  <c r="H237" i="6"/>
  <c r="J237" i="6"/>
  <c r="B238" i="6"/>
  <c r="F238" i="6"/>
  <c r="H238" i="6"/>
  <c r="J238" i="6"/>
  <c r="B239" i="6"/>
  <c r="F239" i="6"/>
  <c r="H239" i="6"/>
  <c r="J239" i="6"/>
  <c r="B240" i="6"/>
  <c r="F240" i="6"/>
  <c r="H240" i="6"/>
  <c r="J240" i="6"/>
  <c r="B241" i="6"/>
  <c r="F241" i="6"/>
  <c r="H241" i="6"/>
  <c r="J241" i="6"/>
  <c r="B242" i="6"/>
  <c r="F242" i="6"/>
  <c r="H242" i="6"/>
  <c r="J242" i="6"/>
  <c r="B243" i="6"/>
  <c r="F243" i="6"/>
  <c r="H243" i="6"/>
  <c r="J243" i="6"/>
  <c r="B244" i="6"/>
  <c r="F244" i="6"/>
  <c r="H244" i="6"/>
  <c r="J244" i="6"/>
  <c r="B245" i="6"/>
  <c r="F245" i="6"/>
  <c r="H245" i="6"/>
  <c r="J245" i="6"/>
  <c r="B246" i="6"/>
  <c r="F246" i="6"/>
  <c r="H246" i="6"/>
  <c r="J246" i="6"/>
  <c r="B247" i="6"/>
  <c r="F247" i="6"/>
  <c r="H247" i="6"/>
  <c r="J247" i="6"/>
  <c r="B248" i="6"/>
  <c r="F248" i="6"/>
  <c r="H248" i="6"/>
  <c r="J248" i="6"/>
  <c r="B249" i="6"/>
  <c r="F249" i="6"/>
  <c r="H249" i="6"/>
  <c r="J249" i="6"/>
  <c r="B250" i="6"/>
  <c r="F250" i="6"/>
  <c r="H250" i="6"/>
  <c r="J250" i="6"/>
  <c r="B251" i="6"/>
  <c r="F251" i="6"/>
  <c r="H251" i="6"/>
  <c r="J251" i="6"/>
  <c r="B252" i="6"/>
  <c r="F252" i="6"/>
  <c r="H252" i="6"/>
  <c r="J252" i="6"/>
  <c r="B253" i="6"/>
  <c r="F253" i="6"/>
  <c r="H253" i="6"/>
  <c r="J253" i="6"/>
  <c r="B254" i="6"/>
  <c r="F254" i="6"/>
  <c r="H254" i="6"/>
  <c r="J254" i="6"/>
  <c r="B255" i="6"/>
  <c r="F255" i="6"/>
  <c r="H255" i="6"/>
  <c r="J255" i="6"/>
  <c r="B256" i="6"/>
  <c r="F256" i="6"/>
  <c r="H256" i="6"/>
  <c r="J256" i="6"/>
  <c r="B257" i="6"/>
  <c r="F257" i="6"/>
  <c r="H257" i="6"/>
  <c r="J257" i="6"/>
  <c r="B258" i="6"/>
  <c r="F258" i="6"/>
  <c r="H258" i="6"/>
  <c r="J258" i="6"/>
  <c r="B259" i="6"/>
  <c r="F259" i="6"/>
  <c r="H259" i="6"/>
  <c r="J259" i="6"/>
  <c r="B260" i="6"/>
  <c r="F260" i="6"/>
  <c r="H260" i="6"/>
  <c r="J260" i="6"/>
  <c r="B261" i="6"/>
  <c r="F261" i="6"/>
  <c r="H261" i="6"/>
  <c r="J261" i="6"/>
  <c r="B262" i="6"/>
  <c r="F262" i="6"/>
  <c r="H262" i="6"/>
  <c r="J262" i="6"/>
  <c r="B263" i="6"/>
  <c r="F263" i="6"/>
  <c r="H263" i="6"/>
  <c r="J263" i="6"/>
  <c r="B264" i="6"/>
  <c r="F264" i="6"/>
  <c r="H264" i="6"/>
  <c r="J264" i="6"/>
  <c r="B265" i="6"/>
  <c r="F265" i="6"/>
  <c r="H265" i="6"/>
  <c r="J265" i="6"/>
  <c r="B266" i="6"/>
  <c r="F266" i="6"/>
  <c r="H266" i="6"/>
  <c r="J266" i="6"/>
  <c r="B267" i="6"/>
  <c r="F267" i="6"/>
  <c r="H267" i="6"/>
  <c r="J267" i="6"/>
  <c r="B268" i="6"/>
  <c r="F268" i="6"/>
  <c r="H268" i="6"/>
  <c r="J268" i="6"/>
  <c r="B269" i="6"/>
  <c r="F269" i="6"/>
  <c r="H269" i="6"/>
  <c r="J269" i="6"/>
  <c r="B270" i="6"/>
  <c r="F270" i="6"/>
  <c r="H270" i="6"/>
  <c r="J270" i="6"/>
  <c r="B271" i="6"/>
  <c r="F271" i="6"/>
  <c r="H271" i="6"/>
  <c r="J271" i="6"/>
  <c r="B272" i="6"/>
  <c r="F272" i="6"/>
  <c r="H272" i="6"/>
  <c r="J272" i="6"/>
  <c r="B273" i="6"/>
  <c r="F273" i="6"/>
  <c r="H273" i="6"/>
  <c r="J273" i="6"/>
  <c r="B274" i="6"/>
  <c r="F274" i="6"/>
  <c r="H274" i="6"/>
  <c r="J274" i="6"/>
  <c r="B275" i="6"/>
  <c r="F275" i="6"/>
  <c r="H275" i="6"/>
  <c r="J275" i="6"/>
  <c r="B276" i="6"/>
  <c r="F276" i="6"/>
  <c r="H276" i="6"/>
  <c r="J276" i="6"/>
  <c r="B277" i="6"/>
  <c r="F277" i="6"/>
  <c r="H277" i="6"/>
  <c r="J277" i="6"/>
  <c r="B278" i="6"/>
  <c r="F278" i="6"/>
  <c r="H278" i="6"/>
  <c r="J278" i="6"/>
  <c r="B279" i="6"/>
  <c r="F279" i="6"/>
  <c r="H279" i="6"/>
  <c r="J279" i="6"/>
  <c r="B280" i="6"/>
  <c r="F280" i="6"/>
  <c r="H280" i="6"/>
  <c r="J280" i="6"/>
  <c r="B281" i="6"/>
  <c r="F281" i="6"/>
  <c r="H281" i="6"/>
  <c r="J281" i="6"/>
  <c r="B282" i="6"/>
  <c r="F282" i="6"/>
  <c r="H282" i="6"/>
  <c r="J282" i="6"/>
  <c r="B283" i="6"/>
  <c r="F283" i="6"/>
  <c r="H283" i="6"/>
  <c r="J283" i="6"/>
  <c r="B284" i="6"/>
  <c r="F284" i="6"/>
  <c r="H284" i="6"/>
  <c r="J284" i="6"/>
  <c r="B285" i="6"/>
  <c r="F285" i="6"/>
  <c r="H285" i="6"/>
  <c r="J285" i="6"/>
  <c r="B286" i="6"/>
  <c r="F286" i="6"/>
  <c r="H286" i="6"/>
  <c r="J286" i="6"/>
  <c r="B287" i="6"/>
  <c r="F287" i="6"/>
  <c r="H287" i="6"/>
  <c r="J287" i="6"/>
  <c r="B288" i="6"/>
  <c r="F288" i="6"/>
  <c r="H288" i="6"/>
  <c r="J288" i="6"/>
  <c r="B289" i="6"/>
  <c r="F289" i="6"/>
  <c r="H289" i="6"/>
  <c r="J289" i="6"/>
  <c r="B290" i="6"/>
  <c r="F290" i="6"/>
  <c r="H290" i="6"/>
  <c r="J290" i="6"/>
  <c r="B291" i="6"/>
  <c r="F291" i="6"/>
  <c r="H291" i="6"/>
  <c r="J291" i="6"/>
  <c r="B292" i="6"/>
  <c r="F292" i="6"/>
  <c r="H292" i="6"/>
  <c r="J292" i="6"/>
  <c r="B293" i="6"/>
  <c r="F293" i="6"/>
  <c r="H293" i="6"/>
  <c r="J293" i="6"/>
  <c r="B294" i="6"/>
  <c r="F294" i="6"/>
  <c r="H294" i="6"/>
  <c r="J294" i="6"/>
  <c r="B295" i="6"/>
  <c r="F295" i="6"/>
  <c r="H295" i="6"/>
  <c r="J295" i="6"/>
  <c r="B296" i="6"/>
  <c r="F296" i="6"/>
  <c r="H296" i="6"/>
  <c r="J296" i="6"/>
  <c r="B297" i="6"/>
  <c r="F297" i="6"/>
  <c r="H297" i="6"/>
  <c r="J297" i="6"/>
  <c r="B298" i="6"/>
  <c r="F298" i="6"/>
  <c r="H298" i="6"/>
  <c r="J298" i="6"/>
  <c r="B299" i="6"/>
  <c r="F299" i="6"/>
  <c r="H299" i="6"/>
  <c r="J299" i="6"/>
  <c r="B300" i="6"/>
  <c r="F300" i="6"/>
  <c r="H300" i="6"/>
  <c r="J300" i="6"/>
  <c r="B301" i="6"/>
  <c r="F301" i="6"/>
  <c r="H301" i="6"/>
  <c r="J301" i="6"/>
  <c r="B302" i="6"/>
  <c r="F302" i="6"/>
  <c r="H302" i="6"/>
  <c r="J302" i="6"/>
  <c r="B303" i="6"/>
  <c r="F303" i="6"/>
  <c r="H303" i="6"/>
  <c r="J303" i="6"/>
  <c r="B304" i="6"/>
  <c r="F304" i="6"/>
  <c r="H304" i="6"/>
  <c r="J304" i="6"/>
  <c r="B305" i="6"/>
  <c r="F305" i="6"/>
  <c r="H305" i="6"/>
  <c r="J305" i="6"/>
  <c r="B306" i="6"/>
  <c r="F306" i="6"/>
  <c r="H306" i="6"/>
  <c r="J306" i="6"/>
  <c r="B307" i="6"/>
  <c r="F307" i="6"/>
  <c r="H307" i="6"/>
  <c r="J307" i="6"/>
  <c r="B308" i="6"/>
  <c r="F308" i="6"/>
  <c r="H308" i="6"/>
  <c r="J308" i="6"/>
  <c r="B309" i="6"/>
  <c r="F309" i="6"/>
  <c r="H309" i="6"/>
  <c r="J309" i="6"/>
  <c r="B310" i="6"/>
  <c r="F310" i="6"/>
  <c r="H310" i="6"/>
  <c r="J310" i="6"/>
  <c r="B311" i="6"/>
  <c r="F311" i="6"/>
  <c r="H311" i="6"/>
  <c r="J311" i="6"/>
  <c r="B312" i="6"/>
  <c r="F312" i="6"/>
  <c r="H312" i="6"/>
  <c r="J312" i="6"/>
  <c r="B313" i="6"/>
  <c r="F313" i="6"/>
  <c r="H313" i="6"/>
  <c r="J313" i="6"/>
  <c r="B314" i="6"/>
  <c r="F314" i="6"/>
  <c r="H314" i="6"/>
  <c r="J314" i="6"/>
  <c r="B315" i="6"/>
  <c r="F315" i="6"/>
  <c r="H315" i="6"/>
  <c r="J315" i="6"/>
  <c r="B316" i="6"/>
  <c r="F316" i="6"/>
  <c r="H316" i="6"/>
  <c r="J316" i="6"/>
  <c r="B317" i="6"/>
  <c r="F317" i="6"/>
  <c r="H317" i="6"/>
  <c r="J317" i="6"/>
  <c r="B318" i="6"/>
  <c r="F318" i="6"/>
  <c r="H318" i="6"/>
  <c r="J318" i="6"/>
  <c r="B319" i="6"/>
  <c r="F319" i="6"/>
  <c r="H319" i="6"/>
  <c r="J319" i="6"/>
  <c r="B320" i="6"/>
  <c r="F320" i="6"/>
  <c r="H320" i="6"/>
  <c r="J320" i="6"/>
  <c r="B321" i="6"/>
  <c r="F321" i="6"/>
  <c r="H321" i="6"/>
  <c r="J321" i="6"/>
  <c r="B322" i="6"/>
  <c r="F322" i="6"/>
  <c r="H322" i="6"/>
  <c r="J322" i="6"/>
  <c r="B323" i="6"/>
  <c r="F323" i="6"/>
  <c r="H323" i="6"/>
  <c r="J323" i="6"/>
  <c r="B324" i="6"/>
  <c r="F324" i="6"/>
  <c r="H324" i="6"/>
  <c r="J324" i="6"/>
  <c r="B325" i="6"/>
  <c r="F325" i="6"/>
  <c r="H325" i="6"/>
  <c r="J325" i="6"/>
  <c r="B326" i="6"/>
  <c r="F326" i="6"/>
  <c r="H326" i="6"/>
  <c r="J326" i="6"/>
  <c r="B327" i="6"/>
  <c r="F327" i="6"/>
  <c r="H327" i="6"/>
  <c r="J327" i="6"/>
  <c r="B328" i="6"/>
  <c r="F328" i="6"/>
  <c r="H328" i="6"/>
  <c r="J328" i="6"/>
  <c r="B329" i="6"/>
  <c r="F329" i="6"/>
  <c r="H329" i="6"/>
  <c r="J329" i="6"/>
  <c r="B330" i="6"/>
  <c r="F330" i="6"/>
  <c r="H330" i="6"/>
  <c r="J330" i="6"/>
  <c r="B331" i="6"/>
  <c r="F331" i="6"/>
  <c r="H331" i="6"/>
  <c r="J331" i="6"/>
  <c r="B332" i="6"/>
  <c r="F332" i="6"/>
  <c r="H332" i="6"/>
  <c r="J332" i="6"/>
  <c r="B333" i="6"/>
  <c r="F333" i="6"/>
  <c r="H333" i="6"/>
  <c r="J333" i="6"/>
  <c r="B334" i="6"/>
  <c r="F334" i="6"/>
  <c r="H334" i="6"/>
  <c r="J334" i="6"/>
  <c r="B335" i="6"/>
  <c r="F335" i="6"/>
  <c r="H335" i="6"/>
  <c r="J335" i="6"/>
  <c r="B336" i="6"/>
  <c r="F336" i="6"/>
  <c r="H336" i="6"/>
  <c r="J336" i="6"/>
  <c r="B337" i="6"/>
  <c r="F337" i="6"/>
  <c r="H337" i="6"/>
  <c r="J337" i="6"/>
  <c r="B338" i="6"/>
  <c r="F338" i="6"/>
  <c r="H338" i="6"/>
  <c r="J338" i="6"/>
  <c r="B339" i="6"/>
  <c r="F339" i="6"/>
  <c r="H339" i="6"/>
  <c r="J339" i="6"/>
  <c r="B340" i="6"/>
  <c r="F340" i="6"/>
  <c r="H340" i="6"/>
  <c r="J340" i="6"/>
  <c r="B341" i="6"/>
  <c r="F341" i="6"/>
  <c r="H341" i="6"/>
  <c r="J341" i="6"/>
  <c r="B342" i="6"/>
  <c r="F342" i="6"/>
  <c r="H342" i="6"/>
  <c r="J342" i="6"/>
  <c r="B343" i="6"/>
  <c r="F343" i="6"/>
  <c r="H343" i="6"/>
  <c r="J343" i="6"/>
  <c r="B344" i="6"/>
  <c r="F344" i="6"/>
  <c r="H344" i="6"/>
  <c r="J344" i="6"/>
  <c r="B345" i="6"/>
  <c r="F345" i="6"/>
  <c r="H345" i="6"/>
  <c r="J345" i="6"/>
  <c r="B346" i="6"/>
  <c r="F346" i="6"/>
  <c r="H346" i="6"/>
  <c r="J346" i="6"/>
  <c r="B347" i="6"/>
  <c r="F347" i="6"/>
  <c r="H347" i="6"/>
  <c r="J347" i="6"/>
  <c r="B348" i="6"/>
  <c r="F348" i="6"/>
  <c r="H348" i="6"/>
  <c r="J348" i="6"/>
  <c r="B349" i="6"/>
  <c r="F349" i="6"/>
  <c r="H349" i="6"/>
  <c r="J349" i="6"/>
  <c r="B350" i="6"/>
  <c r="F350" i="6"/>
  <c r="H350" i="6"/>
  <c r="J350" i="6"/>
  <c r="B351" i="6"/>
  <c r="F351" i="6"/>
  <c r="H351" i="6"/>
  <c r="J351" i="6"/>
  <c r="B352" i="6"/>
  <c r="F352" i="6"/>
  <c r="H352" i="6"/>
  <c r="J352" i="6"/>
  <c r="B353" i="6"/>
  <c r="F353" i="6"/>
  <c r="H353" i="6"/>
  <c r="J353" i="6"/>
  <c r="B354" i="6"/>
  <c r="F354" i="6"/>
  <c r="H354" i="6"/>
  <c r="J354" i="6"/>
  <c r="B355" i="6"/>
  <c r="F355" i="6"/>
  <c r="H355" i="6"/>
  <c r="J355" i="6"/>
  <c r="B356" i="6"/>
  <c r="F356" i="6"/>
  <c r="H356" i="6"/>
  <c r="J356" i="6"/>
  <c r="B357" i="6"/>
  <c r="F357" i="6"/>
  <c r="H357" i="6"/>
  <c r="J357" i="6"/>
  <c r="B358" i="6"/>
  <c r="F358" i="6"/>
  <c r="H358" i="6"/>
  <c r="J358" i="6"/>
  <c r="B359" i="6"/>
  <c r="F359" i="6"/>
  <c r="H359" i="6"/>
  <c r="J359" i="6"/>
  <c r="B360" i="6"/>
  <c r="F360" i="6"/>
  <c r="H360" i="6"/>
  <c r="J360" i="6"/>
  <c r="B361" i="6"/>
  <c r="F361" i="6"/>
  <c r="H361" i="6"/>
  <c r="J361" i="6"/>
  <c r="B362" i="6"/>
  <c r="F362" i="6"/>
  <c r="H362" i="6"/>
  <c r="J362" i="6"/>
  <c r="B363" i="6"/>
  <c r="F363" i="6"/>
  <c r="H363" i="6"/>
  <c r="J363" i="6"/>
  <c r="B364" i="6"/>
  <c r="F364" i="6"/>
  <c r="H364" i="6"/>
  <c r="J364" i="6"/>
  <c r="B365" i="6"/>
  <c r="F365" i="6"/>
  <c r="H365" i="6"/>
  <c r="J365" i="6"/>
  <c r="B366" i="6"/>
  <c r="F366" i="6"/>
  <c r="H366" i="6"/>
  <c r="J366" i="6"/>
  <c r="B367" i="6"/>
  <c r="F367" i="6"/>
  <c r="H367" i="6"/>
  <c r="J367" i="6"/>
  <c r="B368" i="6"/>
  <c r="F368" i="6"/>
  <c r="H368" i="6"/>
  <c r="J368" i="6"/>
  <c r="B369" i="6"/>
  <c r="F369" i="6"/>
  <c r="H369" i="6"/>
  <c r="J369" i="6"/>
  <c r="B370" i="6"/>
  <c r="F370" i="6"/>
  <c r="H370" i="6"/>
  <c r="J370" i="6"/>
  <c r="B371" i="6"/>
  <c r="F371" i="6"/>
  <c r="H371" i="6"/>
  <c r="J371" i="6"/>
  <c r="B372" i="6"/>
  <c r="F372" i="6"/>
  <c r="H372" i="6"/>
  <c r="J372" i="6"/>
  <c r="B373" i="6"/>
  <c r="F373" i="6"/>
  <c r="H373" i="6"/>
  <c r="J373" i="6"/>
  <c r="B374" i="6"/>
  <c r="F374" i="6"/>
  <c r="H374" i="6"/>
  <c r="J374" i="6"/>
  <c r="B375" i="6"/>
  <c r="F375" i="6"/>
  <c r="H375" i="6"/>
  <c r="J375" i="6"/>
  <c r="B376" i="6"/>
  <c r="F376" i="6"/>
  <c r="H376" i="6"/>
  <c r="J376" i="6"/>
  <c r="B377" i="6"/>
  <c r="F377" i="6"/>
  <c r="H377" i="6"/>
  <c r="J377" i="6"/>
  <c r="B378" i="6"/>
  <c r="F378" i="6"/>
  <c r="H378" i="6"/>
  <c r="J378" i="6"/>
  <c r="B379" i="6"/>
  <c r="F379" i="6"/>
  <c r="H379" i="6"/>
  <c r="J379" i="6"/>
  <c r="B380" i="6"/>
  <c r="F380" i="6"/>
  <c r="H380" i="6"/>
  <c r="J380" i="6"/>
  <c r="B381" i="6"/>
  <c r="F381" i="6"/>
  <c r="H381" i="6"/>
  <c r="J381" i="6"/>
  <c r="B382" i="6"/>
  <c r="F382" i="6"/>
  <c r="H382" i="6"/>
  <c r="J382" i="6"/>
  <c r="B383" i="6"/>
  <c r="F383" i="6"/>
  <c r="H383" i="6"/>
  <c r="J383" i="6"/>
  <c r="B384" i="6"/>
  <c r="F384" i="6"/>
  <c r="H384" i="6"/>
  <c r="J384" i="6"/>
  <c r="B385" i="6"/>
  <c r="F385" i="6"/>
  <c r="H385" i="6"/>
  <c r="J385" i="6"/>
  <c r="B386" i="6"/>
  <c r="F386" i="6"/>
  <c r="H386" i="6"/>
  <c r="J386" i="6"/>
  <c r="B387" i="6"/>
  <c r="F387" i="6"/>
  <c r="H387" i="6"/>
  <c r="J387" i="6"/>
  <c r="B388" i="6"/>
  <c r="F388" i="6"/>
  <c r="H388" i="6"/>
  <c r="J388" i="6"/>
  <c r="B389" i="6"/>
  <c r="F389" i="6"/>
  <c r="H389" i="6"/>
  <c r="J389" i="6"/>
  <c r="B390" i="6"/>
  <c r="F390" i="6"/>
  <c r="H390" i="6"/>
  <c r="J390" i="6"/>
  <c r="B391" i="6"/>
  <c r="F391" i="6"/>
  <c r="H391" i="6"/>
  <c r="J391" i="6"/>
  <c r="B392" i="6"/>
  <c r="F392" i="6"/>
  <c r="H392" i="6"/>
  <c r="J392" i="6"/>
  <c r="B393" i="6"/>
  <c r="F393" i="6"/>
  <c r="H393" i="6"/>
  <c r="J393" i="6"/>
  <c r="B394" i="6"/>
  <c r="F394" i="6"/>
  <c r="H394" i="6"/>
  <c r="J394" i="6"/>
  <c r="B395" i="6"/>
  <c r="F395" i="6"/>
  <c r="H395" i="6"/>
  <c r="J395" i="6"/>
  <c r="B396" i="6"/>
  <c r="F396" i="6"/>
  <c r="H396" i="6"/>
  <c r="J396" i="6"/>
  <c r="B397" i="6"/>
  <c r="F397" i="6"/>
  <c r="H397" i="6"/>
  <c r="J397" i="6"/>
  <c r="B398" i="6"/>
  <c r="F398" i="6"/>
  <c r="H398" i="6"/>
  <c r="J398" i="6"/>
  <c r="B399" i="6"/>
  <c r="F399" i="6"/>
  <c r="H399" i="6"/>
  <c r="J399" i="6"/>
  <c r="B400" i="6"/>
  <c r="F400" i="6"/>
  <c r="H400" i="6"/>
  <c r="J400" i="6"/>
  <c r="B401" i="6"/>
  <c r="F401" i="6"/>
  <c r="H401" i="6"/>
  <c r="J401" i="6"/>
  <c r="B402" i="6"/>
  <c r="F402" i="6"/>
  <c r="H402" i="6"/>
  <c r="J402" i="6"/>
  <c r="B403" i="6"/>
  <c r="F403" i="6"/>
  <c r="H403" i="6"/>
  <c r="J403" i="6"/>
  <c r="B404" i="6"/>
  <c r="F404" i="6"/>
  <c r="H404" i="6"/>
  <c r="J404" i="6"/>
  <c r="B405" i="6"/>
  <c r="F405" i="6"/>
  <c r="H405" i="6"/>
  <c r="J405" i="6"/>
  <c r="B406" i="6"/>
  <c r="F406" i="6"/>
  <c r="H406" i="6"/>
  <c r="J406" i="6"/>
  <c r="B407" i="6"/>
  <c r="F407" i="6"/>
  <c r="H407" i="6"/>
  <c r="J407" i="6"/>
  <c r="B408" i="6"/>
  <c r="F408" i="6"/>
  <c r="H408" i="6"/>
  <c r="J408" i="6"/>
  <c r="B409" i="6"/>
  <c r="F409" i="6"/>
  <c r="H409" i="6"/>
  <c r="J409" i="6"/>
  <c r="B410" i="6"/>
  <c r="F410" i="6"/>
  <c r="H410" i="6"/>
  <c r="J410" i="6"/>
  <c r="B411" i="6"/>
  <c r="F411" i="6"/>
  <c r="H411" i="6"/>
  <c r="J411" i="6"/>
  <c r="B412" i="6"/>
  <c r="F412" i="6"/>
  <c r="H412" i="6"/>
  <c r="J412" i="6"/>
  <c r="B413" i="6"/>
  <c r="F413" i="6"/>
  <c r="H413" i="6"/>
  <c r="J413" i="6"/>
  <c r="B414" i="6"/>
  <c r="F414" i="6"/>
  <c r="H414" i="6"/>
  <c r="J414" i="6"/>
  <c r="B415" i="6"/>
  <c r="F415" i="6"/>
  <c r="H415" i="6"/>
  <c r="J415" i="6"/>
  <c r="B416" i="6"/>
  <c r="F416" i="6"/>
  <c r="H416" i="6"/>
  <c r="J416" i="6"/>
  <c r="B417" i="6"/>
  <c r="F417" i="6"/>
  <c r="H417" i="6"/>
  <c r="J417" i="6"/>
  <c r="B418" i="6"/>
  <c r="F418" i="6"/>
  <c r="H418" i="6"/>
  <c r="J418" i="6"/>
  <c r="B419" i="6"/>
  <c r="F419" i="6"/>
  <c r="H419" i="6"/>
  <c r="J419" i="6"/>
  <c r="B420" i="6"/>
  <c r="F420" i="6"/>
  <c r="H420" i="6"/>
  <c r="J420" i="6"/>
  <c r="B421" i="6"/>
  <c r="F421" i="6"/>
  <c r="H421" i="6"/>
  <c r="J421" i="6"/>
  <c r="B422" i="6"/>
  <c r="F422" i="6"/>
  <c r="H422" i="6"/>
  <c r="J422" i="6"/>
  <c r="B423" i="6"/>
  <c r="F423" i="6"/>
  <c r="H423" i="6"/>
  <c r="J423" i="6"/>
  <c r="B424" i="6"/>
  <c r="F424" i="6"/>
  <c r="H424" i="6"/>
  <c r="J424" i="6"/>
  <c r="B425" i="6"/>
  <c r="F425" i="6"/>
  <c r="H425" i="6"/>
  <c r="J425" i="6"/>
  <c r="B426" i="6"/>
  <c r="F426" i="6"/>
  <c r="H426" i="6"/>
  <c r="J426" i="6"/>
  <c r="B427" i="6"/>
  <c r="F427" i="6"/>
  <c r="H427" i="6"/>
  <c r="J427" i="6"/>
  <c r="B428" i="6"/>
  <c r="F428" i="6"/>
  <c r="H428" i="6"/>
  <c r="J428" i="6"/>
  <c r="B429" i="6"/>
  <c r="F429" i="6"/>
  <c r="H429" i="6"/>
  <c r="J429" i="6"/>
  <c r="B430" i="6"/>
  <c r="F430" i="6"/>
  <c r="H430" i="6"/>
  <c r="J430" i="6"/>
  <c r="B431" i="6"/>
  <c r="F431" i="6"/>
  <c r="H431" i="6"/>
  <c r="J431" i="6"/>
  <c r="B432" i="6"/>
  <c r="F432" i="6"/>
  <c r="H432" i="6"/>
  <c r="J432" i="6"/>
  <c r="B433" i="6"/>
  <c r="F433" i="6"/>
  <c r="H433" i="6"/>
  <c r="J433" i="6"/>
  <c r="B434" i="6"/>
  <c r="F434" i="6"/>
  <c r="H434" i="6"/>
  <c r="J434" i="6"/>
  <c r="B435" i="6"/>
  <c r="F435" i="6"/>
  <c r="H435" i="6"/>
  <c r="J435" i="6"/>
  <c r="B436" i="6"/>
  <c r="F436" i="6"/>
  <c r="H436" i="6"/>
  <c r="J436" i="6"/>
  <c r="B437" i="6"/>
  <c r="F437" i="6"/>
  <c r="H437" i="6"/>
  <c r="J437" i="6"/>
  <c r="B438" i="6"/>
  <c r="F438" i="6"/>
  <c r="H438" i="6"/>
  <c r="J438" i="6"/>
  <c r="B439" i="6"/>
  <c r="F439" i="6"/>
  <c r="H439" i="6"/>
  <c r="J439" i="6"/>
  <c r="B440" i="6"/>
  <c r="F440" i="6"/>
  <c r="H440" i="6"/>
  <c r="J440" i="6"/>
  <c r="B441" i="6"/>
  <c r="F441" i="6"/>
  <c r="H441" i="6"/>
  <c r="J441" i="6"/>
  <c r="B442" i="6"/>
  <c r="F442" i="6"/>
  <c r="H442" i="6"/>
  <c r="J442" i="6"/>
  <c r="B443" i="6"/>
  <c r="F443" i="6"/>
  <c r="H443" i="6"/>
  <c r="J443" i="6"/>
  <c r="B444" i="6"/>
  <c r="F444" i="6"/>
  <c r="H444" i="6"/>
  <c r="J444" i="6"/>
  <c r="B445" i="6"/>
  <c r="F445" i="6"/>
  <c r="H445" i="6"/>
  <c r="J445" i="6"/>
  <c r="B446" i="6"/>
  <c r="F446" i="6"/>
  <c r="H446" i="6"/>
  <c r="J446" i="6"/>
  <c r="B447" i="6"/>
  <c r="F447" i="6"/>
  <c r="H447" i="6"/>
  <c r="J447" i="6"/>
  <c r="B448" i="6"/>
  <c r="F448" i="6"/>
  <c r="H448" i="6"/>
  <c r="J448" i="6"/>
  <c r="B449" i="6"/>
  <c r="F449" i="6"/>
  <c r="H449" i="6"/>
  <c r="J449" i="6"/>
  <c r="B450" i="6"/>
  <c r="F450" i="6"/>
  <c r="H450" i="6"/>
  <c r="J450" i="6"/>
  <c r="B451" i="6"/>
  <c r="F451" i="6"/>
  <c r="H451" i="6"/>
  <c r="J451" i="6"/>
  <c r="B452" i="6"/>
  <c r="F452" i="6"/>
  <c r="H452" i="6"/>
  <c r="J452" i="6"/>
  <c r="B453" i="6"/>
  <c r="F453" i="6"/>
  <c r="H453" i="6"/>
  <c r="J453" i="6"/>
  <c r="B454" i="6"/>
  <c r="F454" i="6"/>
  <c r="H454" i="6"/>
  <c r="J454" i="6"/>
  <c r="B455" i="6"/>
  <c r="F455" i="6"/>
  <c r="H455" i="6"/>
  <c r="J455" i="6"/>
  <c r="B456" i="6"/>
  <c r="F456" i="6"/>
  <c r="H456" i="6"/>
  <c r="J456" i="6"/>
  <c r="B457" i="6"/>
  <c r="F457" i="6"/>
  <c r="H457" i="6"/>
  <c r="J457" i="6"/>
  <c r="B458" i="6"/>
  <c r="F458" i="6"/>
  <c r="H458" i="6"/>
  <c r="J458" i="6"/>
  <c r="B459" i="6"/>
  <c r="F459" i="6"/>
  <c r="H459" i="6"/>
  <c r="J459" i="6"/>
  <c r="B460" i="6"/>
  <c r="F460" i="6"/>
  <c r="H460" i="6"/>
  <c r="J460" i="6"/>
  <c r="B461" i="6"/>
  <c r="F461" i="6"/>
  <c r="H461" i="6"/>
  <c r="J461" i="6"/>
  <c r="B462" i="6"/>
  <c r="F462" i="6"/>
  <c r="H462" i="6"/>
  <c r="J462" i="6"/>
  <c r="B463" i="6"/>
  <c r="F463" i="6"/>
  <c r="H463" i="6"/>
  <c r="J463" i="6"/>
  <c r="B464" i="6"/>
  <c r="F464" i="6"/>
  <c r="H464" i="6"/>
  <c r="J464" i="6"/>
  <c r="B465" i="6"/>
  <c r="F465" i="6"/>
  <c r="H465" i="6"/>
  <c r="J465" i="6"/>
  <c r="B466" i="6"/>
  <c r="F466" i="6"/>
  <c r="H466" i="6"/>
  <c r="J466" i="6"/>
  <c r="B467" i="6"/>
  <c r="F467" i="6"/>
  <c r="H467" i="6"/>
  <c r="J467" i="6"/>
  <c r="B468" i="6"/>
  <c r="F468" i="6"/>
  <c r="H468" i="6"/>
  <c r="J468" i="6"/>
  <c r="B469" i="6"/>
  <c r="F469" i="6"/>
  <c r="H469" i="6"/>
  <c r="J469" i="6"/>
  <c r="B470" i="6"/>
  <c r="F470" i="6"/>
  <c r="H470" i="6"/>
  <c r="J470" i="6"/>
  <c r="B471" i="6"/>
  <c r="F471" i="6"/>
  <c r="H471" i="6"/>
  <c r="J471" i="6"/>
  <c r="B472" i="6"/>
  <c r="F472" i="6"/>
  <c r="H472" i="6"/>
  <c r="J472" i="6"/>
  <c r="B473" i="6"/>
  <c r="F473" i="6"/>
  <c r="H473" i="6"/>
  <c r="J473" i="6"/>
  <c r="B474" i="6"/>
  <c r="F474" i="6"/>
  <c r="H474" i="6"/>
  <c r="J474" i="6"/>
  <c r="B475" i="6"/>
  <c r="F475" i="6"/>
  <c r="H475" i="6"/>
  <c r="J475" i="6"/>
  <c r="B476" i="6"/>
  <c r="F476" i="6"/>
  <c r="H476" i="6"/>
  <c r="J476" i="6"/>
  <c r="B477" i="6"/>
  <c r="F477" i="6"/>
  <c r="H477" i="6"/>
  <c r="J477" i="6"/>
  <c r="B478" i="6"/>
  <c r="F478" i="6"/>
  <c r="H478" i="6"/>
  <c r="J478" i="6"/>
  <c r="B479" i="6"/>
  <c r="F479" i="6"/>
  <c r="H479" i="6"/>
  <c r="J479" i="6"/>
  <c r="B480" i="6"/>
  <c r="F480" i="6"/>
  <c r="H480" i="6"/>
  <c r="J480" i="6"/>
  <c r="B481" i="6"/>
  <c r="F481" i="6"/>
  <c r="H481" i="6"/>
  <c r="J481" i="6"/>
  <c r="B482" i="6"/>
  <c r="F482" i="6"/>
  <c r="H482" i="6"/>
  <c r="J482" i="6"/>
  <c r="B483" i="6"/>
  <c r="F483" i="6"/>
  <c r="H483" i="6"/>
  <c r="J483" i="6"/>
  <c r="B484" i="6"/>
  <c r="F484" i="6"/>
  <c r="H484" i="6"/>
  <c r="J484" i="6"/>
  <c r="B485" i="6"/>
  <c r="F485" i="6"/>
  <c r="H485" i="6"/>
  <c r="J485" i="6"/>
  <c r="B486" i="6"/>
  <c r="F486" i="6"/>
  <c r="H486" i="6"/>
  <c r="J486" i="6"/>
  <c r="B487" i="6"/>
  <c r="F487" i="6"/>
  <c r="H487" i="6"/>
  <c r="J487" i="6"/>
  <c r="B488" i="6"/>
  <c r="F488" i="6"/>
  <c r="H488" i="6"/>
  <c r="J488" i="6"/>
  <c r="B489" i="6"/>
  <c r="F489" i="6"/>
  <c r="H489" i="6"/>
  <c r="J489" i="6"/>
  <c r="B490" i="6"/>
  <c r="F490" i="6"/>
  <c r="H490" i="6"/>
  <c r="J490" i="6"/>
  <c r="B491" i="6"/>
  <c r="F491" i="6"/>
  <c r="H491" i="6"/>
  <c r="J491" i="6"/>
  <c r="B492" i="6"/>
  <c r="F492" i="6"/>
  <c r="H492" i="6"/>
  <c r="J492" i="6"/>
  <c r="B493" i="6"/>
  <c r="F493" i="6"/>
  <c r="H493" i="6"/>
  <c r="J493" i="6"/>
  <c r="B494" i="6"/>
  <c r="F494" i="6"/>
  <c r="H494" i="6"/>
  <c r="J494" i="6"/>
  <c r="B495" i="6"/>
  <c r="F495" i="6"/>
  <c r="H495" i="6"/>
  <c r="J495" i="6"/>
  <c r="B496" i="6"/>
  <c r="F496" i="6"/>
  <c r="H496" i="6"/>
  <c r="J496" i="6"/>
  <c r="B497" i="6"/>
  <c r="F497" i="6"/>
  <c r="H497" i="6"/>
  <c r="J497" i="6"/>
  <c r="B498" i="6"/>
  <c r="F498" i="6"/>
  <c r="H498" i="6"/>
  <c r="J498" i="6"/>
  <c r="B499" i="6"/>
  <c r="F499" i="6"/>
  <c r="H499" i="6"/>
  <c r="J499" i="6"/>
  <c r="B500" i="6"/>
  <c r="F500" i="6"/>
  <c r="H500" i="6"/>
  <c r="J500" i="6"/>
  <c r="B501" i="6"/>
  <c r="F501" i="6"/>
  <c r="H501" i="6"/>
  <c r="J501" i="6"/>
  <c r="B502" i="6"/>
  <c r="F502" i="6"/>
  <c r="H502" i="6"/>
  <c r="J502" i="6"/>
  <c r="B503" i="6"/>
  <c r="F503" i="6"/>
  <c r="H503" i="6"/>
  <c r="J503" i="6"/>
  <c r="B504" i="6"/>
  <c r="F504" i="6"/>
  <c r="H504" i="6"/>
  <c r="J504" i="6"/>
  <c r="B505" i="6"/>
  <c r="F505" i="6"/>
  <c r="H505" i="6"/>
  <c r="J505" i="6"/>
  <c r="B506" i="6"/>
  <c r="F506" i="6"/>
  <c r="H506" i="6"/>
  <c r="J506" i="6"/>
  <c r="B507" i="6"/>
  <c r="F507" i="6"/>
  <c r="H507" i="6"/>
  <c r="J507" i="6"/>
  <c r="B508" i="6"/>
  <c r="F508" i="6"/>
  <c r="H508" i="6"/>
  <c r="J508" i="6"/>
  <c r="B509" i="6"/>
  <c r="F509" i="6"/>
  <c r="H509" i="6"/>
  <c r="J509" i="6"/>
  <c r="B510" i="6"/>
  <c r="F510" i="6"/>
  <c r="H510" i="6"/>
  <c r="J510" i="6"/>
  <c r="B511" i="6"/>
  <c r="F511" i="6"/>
  <c r="H511" i="6"/>
  <c r="J511" i="6"/>
  <c r="B512" i="6"/>
  <c r="F512" i="6"/>
  <c r="H512" i="6"/>
  <c r="J512" i="6"/>
  <c r="B513" i="6"/>
  <c r="F513" i="6"/>
  <c r="H513" i="6"/>
  <c r="J513" i="6"/>
  <c r="B514" i="6"/>
  <c r="F514" i="6"/>
  <c r="H514" i="6"/>
  <c r="J514" i="6"/>
  <c r="B515" i="6"/>
  <c r="F515" i="6"/>
  <c r="H515" i="6"/>
  <c r="J515" i="6"/>
  <c r="B516" i="6"/>
  <c r="F516" i="6"/>
  <c r="H516" i="6"/>
  <c r="J516" i="6"/>
  <c r="B517" i="6"/>
  <c r="F517" i="6"/>
  <c r="H517" i="6"/>
  <c r="J517" i="6"/>
  <c r="B518" i="6"/>
  <c r="F518" i="6"/>
  <c r="H518" i="6"/>
  <c r="J518" i="6"/>
  <c r="B519" i="6"/>
  <c r="F519" i="6"/>
  <c r="H519" i="6"/>
  <c r="J519" i="6"/>
  <c r="B520" i="6"/>
  <c r="F520" i="6"/>
  <c r="H520" i="6"/>
  <c r="J520" i="6"/>
  <c r="B521" i="6"/>
  <c r="F521" i="6"/>
  <c r="H521" i="6"/>
  <c r="J521" i="6"/>
  <c r="B522" i="6"/>
  <c r="F522" i="6"/>
  <c r="H522" i="6"/>
  <c r="J522" i="6"/>
  <c r="B523" i="6"/>
  <c r="F523" i="6"/>
  <c r="H523" i="6"/>
  <c r="J523" i="6"/>
  <c r="B524" i="6"/>
  <c r="F524" i="6"/>
  <c r="H524" i="6"/>
  <c r="J524" i="6"/>
  <c r="B525" i="6"/>
  <c r="F525" i="6"/>
  <c r="H525" i="6"/>
  <c r="J525" i="6"/>
  <c r="B526" i="6"/>
  <c r="F526" i="6"/>
  <c r="H526" i="6"/>
  <c r="J526" i="6"/>
  <c r="B527" i="6"/>
  <c r="F527" i="6"/>
  <c r="H527" i="6"/>
  <c r="J527" i="6"/>
  <c r="B528" i="6"/>
  <c r="F528" i="6"/>
  <c r="H528" i="6"/>
  <c r="J528" i="6"/>
  <c r="B529" i="6"/>
  <c r="F529" i="6"/>
  <c r="H529" i="6"/>
  <c r="J529" i="6"/>
  <c r="B530" i="6"/>
  <c r="F530" i="6"/>
  <c r="H530" i="6"/>
  <c r="J530" i="6"/>
  <c r="B531" i="6"/>
  <c r="F531" i="6"/>
  <c r="H531" i="6"/>
  <c r="J531" i="6"/>
  <c r="B532" i="6"/>
  <c r="F532" i="6"/>
  <c r="H532" i="6"/>
  <c r="J532" i="6"/>
  <c r="B533" i="6"/>
  <c r="F533" i="6"/>
  <c r="H533" i="6"/>
  <c r="J533" i="6"/>
  <c r="B534" i="6"/>
  <c r="F534" i="6"/>
  <c r="H534" i="6"/>
  <c r="J534" i="6"/>
  <c r="B535" i="6"/>
  <c r="F535" i="6"/>
  <c r="H535" i="6"/>
  <c r="J535" i="6"/>
  <c r="B536" i="6"/>
  <c r="F536" i="6"/>
  <c r="H536" i="6"/>
  <c r="J536" i="6"/>
  <c r="B537" i="6"/>
  <c r="F537" i="6"/>
  <c r="H537" i="6"/>
  <c r="J537" i="6"/>
  <c r="B538" i="6"/>
  <c r="F538" i="6"/>
  <c r="H538" i="6"/>
  <c r="J538" i="6"/>
  <c r="B539" i="6"/>
  <c r="F539" i="6"/>
  <c r="H539" i="6"/>
  <c r="J539" i="6"/>
  <c r="B540" i="6"/>
  <c r="F540" i="6"/>
  <c r="H540" i="6"/>
  <c r="J540" i="6"/>
  <c r="B541" i="6"/>
  <c r="F541" i="6"/>
  <c r="H541" i="6"/>
  <c r="J541" i="6"/>
  <c r="B542" i="6"/>
  <c r="F542" i="6"/>
  <c r="H542" i="6"/>
  <c r="J542" i="6"/>
  <c r="B543" i="6"/>
  <c r="F543" i="6"/>
  <c r="H543" i="6"/>
  <c r="J543" i="6"/>
  <c r="B544" i="6"/>
  <c r="F544" i="6"/>
  <c r="H544" i="6"/>
  <c r="J544" i="6"/>
  <c r="B545" i="6"/>
  <c r="F545" i="6"/>
  <c r="H545" i="6"/>
  <c r="J545" i="6"/>
  <c r="B546" i="6"/>
  <c r="F546" i="6"/>
  <c r="H546" i="6"/>
  <c r="J546" i="6"/>
  <c r="B547" i="6"/>
  <c r="F547" i="6"/>
  <c r="H547" i="6"/>
  <c r="J547" i="6"/>
  <c r="B548" i="6"/>
  <c r="F548" i="6"/>
  <c r="H548" i="6"/>
  <c r="J548" i="6"/>
  <c r="B549" i="6"/>
  <c r="F549" i="6"/>
  <c r="H549" i="6"/>
  <c r="J549" i="6"/>
  <c r="B550" i="6"/>
  <c r="F550" i="6"/>
  <c r="H550" i="6"/>
  <c r="J550" i="6"/>
  <c r="B551" i="6"/>
  <c r="F551" i="6"/>
  <c r="H551" i="6"/>
  <c r="J551" i="6"/>
  <c r="B552" i="6"/>
  <c r="F552" i="6"/>
  <c r="H552" i="6"/>
  <c r="J552" i="6"/>
  <c r="B553" i="6"/>
  <c r="F553" i="6"/>
  <c r="H553" i="6"/>
  <c r="J553" i="6"/>
  <c r="B554" i="6"/>
  <c r="F554" i="6"/>
  <c r="H554" i="6"/>
  <c r="J554" i="6"/>
  <c r="B555" i="6"/>
  <c r="F555" i="6"/>
  <c r="H555" i="6"/>
  <c r="J555" i="6"/>
  <c r="B556" i="6"/>
  <c r="F556" i="6"/>
  <c r="H556" i="6"/>
  <c r="J556" i="6"/>
  <c r="B557" i="6"/>
  <c r="F557" i="6"/>
  <c r="H557" i="6"/>
  <c r="J557" i="6"/>
  <c r="B558" i="6"/>
  <c r="F558" i="6"/>
  <c r="H558" i="6"/>
  <c r="J558" i="6"/>
  <c r="B559" i="6"/>
  <c r="F559" i="6"/>
  <c r="H559" i="6"/>
  <c r="J559" i="6"/>
  <c r="B560" i="6"/>
  <c r="F560" i="6"/>
  <c r="H560" i="6"/>
  <c r="J560" i="6"/>
  <c r="B561" i="6"/>
  <c r="F561" i="6"/>
  <c r="H561" i="6"/>
  <c r="J561" i="6"/>
  <c r="B562" i="6"/>
  <c r="F562" i="6"/>
  <c r="H562" i="6"/>
  <c r="J562" i="6"/>
  <c r="B563" i="6"/>
  <c r="F563" i="6"/>
  <c r="H563" i="6"/>
  <c r="J563" i="6"/>
  <c r="B564" i="6"/>
  <c r="F564" i="6"/>
  <c r="H564" i="6"/>
  <c r="J564" i="6"/>
  <c r="B565" i="6"/>
  <c r="F565" i="6"/>
  <c r="H565" i="6"/>
  <c r="J565" i="6"/>
  <c r="B566" i="6"/>
  <c r="F566" i="6"/>
  <c r="H566" i="6"/>
  <c r="J566" i="6"/>
  <c r="B567" i="6"/>
  <c r="F567" i="6"/>
  <c r="H567" i="6"/>
  <c r="J567" i="6"/>
  <c r="B568" i="6"/>
  <c r="F568" i="6"/>
  <c r="H568" i="6"/>
  <c r="J568" i="6"/>
  <c r="B569" i="6"/>
  <c r="F569" i="6"/>
  <c r="H569" i="6"/>
  <c r="J569" i="6"/>
  <c r="B570" i="6"/>
  <c r="F570" i="6"/>
  <c r="H570" i="6"/>
  <c r="J570" i="6"/>
  <c r="B571" i="6"/>
  <c r="F571" i="6"/>
  <c r="H571" i="6"/>
  <c r="J571" i="6"/>
  <c r="B572" i="6"/>
  <c r="F572" i="6"/>
  <c r="H572" i="6"/>
  <c r="J572" i="6"/>
  <c r="B573" i="6"/>
  <c r="F573" i="6"/>
  <c r="H573" i="6"/>
  <c r="J573" i="6"/>
  <c r="B574" i="6"/>
  <c r="F574" i="6"/>
  <c r="H574" i="6"/>
  <c r="J574" i="6"/>
  <c r="B575" i="6"/>
  <c r="F575" i="6"/>
  <c r="H575" i="6"/>
  <c r="J575" i="6"/>
  <c r="B576" i="6"/>
  <c r="F576" i="6"/>
  <c r="H576" i="6"/>
  <c r="J576" i="6"/>
  <c r="B577" i="6"/>
  <c r="F577" i="6"/>
  <c r="H577" i="6"/>
  <c r="J577" i="6"/>
  <c r="B578" i="6"/>
  <c r="F578" i="6"/>
  <c r="H578" i="6"/>
  <c r="J578" i="6"/>
  <c r="B579" i="6"/>
  <c r="F579" i="6"/>
  <c r="H579" i="6"/>
  <c r="J579" i="6"/>
  <c r="B580" i="6"/>
  <c r="F580" i="6"/>
  <c r="H580" i="6"/>
  <c r="J580" i="6"/>
  <c r="B581" i="6"/>
  <c r="F581" i="6"/>
  <c r="H581" i="6"/>
  <c r="J581" i="6"/>
  <c r="B582" i="6"/>
  <c r="F582" i="6"/>
  <c r="H582" i="6"/>
  <c r="J582" i="6"/>
  <c r="B583" i="6"/>
  <c r="F583" i="6"/>
  <c r="H583" i="6"/>
  <c r="J583" i="6"/>
  <c r="B584" i="6"/>
  <c r="F584" i="6"/>
  <c r="H584" i="6"/>
  <c r="J584" i="6"/>
  <c r="B585" i="6"/>
  <c r="F585" i="6"/>
  <c r="H585" i="6"/>
  <c r="J585" i="6"/>
  <c r="B586" i="6"/>
  <c r="F586" i="6"/>
  <c r="H586" i="6"/>
  <c r="J586" i="6"/>
  <c r="B587" i="6"/>
  <c r="F587" i="6"/>
  <c r="H587" i="6"/>
  <c r="J587" i="6"/>
  <c r="B588" i="6"/>
  <c r="F588" i="6"/>
  <c r="H588" i="6"/>
  <c r="J588" i="6"/>
  <c r="B589" i="6"/>
  <c r="F589" i="6"/>
  <c r="H589" i="6"/>
  <c r="J589" i="6"/>
  <c r="B590" i="6"/>
  <c r="F590" i="6"/>
  <c r="H590" i="6"/>
  <c r="J590" i="6"/>
  <c r="B591" i="6"/>
  <c r="F591" i="6"/>
  <c r="H591" i="6"/>
  <c r="J591" i="6"/>
  <c r="B592" i="6"/>
  <c r="F592" i="6"/>
  <c r="H592" i="6"/>
  <c r="J592" i="6"/>
  <c r="B593" i="6"/>
  <c r="F593" i="6"/>
  <c r="H593" i="6"/>
  <c r="J593" i="6"/>
  <c r="B594" i="6"/>
  <c r="F594" i="6"/>
  <c r="H594" i="6"/>
  <c r="J594" i="6"/>
  <c r="B595" i="6"/>
  <c r="F595" i="6"/>
  <c r="H595" i="6"/>
  <c r="J595" i="6"/>
  <c r="B596" i="6"/>
  <c r="F596" i="6"/>
  <c r="H596" i="6"/>
  <c r="J596" i="6"/>
  <c r="B597" i="6"/>
  <c r="F597" i="6"/>
  <c r="H597" i="6"/>
  <c r="J597" i="6"/>
  <c r="B598" i="6"/>
  <c r="F598" i="6"/>
  <c r="H598" i="6"/>
  <c r="J598" i="6"/>
  <c r="B599" i="6"/>
  <c r="F599" i="6"/>
  <c r="H599" i="6"/>
  <c r="J599" i="6"/>
  <c r="B600" i="6"/>
  <c r="F600" i="6"/>
  <c r="H600" i="6"/>
  <c r="J600" i="6"/>
  <c r="B601" i="6"/>
  <c r="F601" i="6"/>
  <c r="H601" i="6"/>
  <c r="J601" i="6"/>
  <c r="B602" i="6"/>
  <c r="F602" i="6"/>
  <c r="H602" i="6"/>
  <c r="J602" i="6"/>
  <c r="B603" i="6"/>
  <c r="F603" i="6"/>
  <c r="H603" i="6"/>
  <c r="J603" i="6"/>
  <c r="B604" i="6"/>
  <c r="F604" i="6"/>
  <c r="H604" i="6"/>
  <c r="J604" i="6"/>
  <c r="B605" i="6"/>
  <c r="F605" i="6"/>
  <c r="H605" i="6"/>
  <c r="J605" i="6"/>
  <c r="B606" i="6"/>
  <c r="F606" i="6"/>
  <c r="H606" i="6"/>
  <c r="J606" i="6"/>
  <c r="B607" i="6"/>
  <c r="F607" i="6"/>
  <c r="H607" i="6"/>
  <c r="J607" i="6"/>
  <c r="B608" i="6"/>
  <c r="F608" i="6"/>
  <c r="H608" i="6"/>
  <c r="J608" i="6"/>
  <c r="B609" i="6"/>
  <c r="F609" i="6"/>
  <c r="H609" i="6"/>
  <c r="J609" i="6"/>
  <c r="B610" i="6"/>
  <c r="F610" i="6"/>
  <c r="H610" i="6"/>
  <c r="J610" i="6"/>
  <c r="B611" i="6"/>
  <c r="F611" i="6"/>
  <c r="H611" i="6"/>
  <c r="J611" i="6"/>
  <c r="B612" i="6"/>
  <c r="F612" i="6"/>
  <c r="H612" i="6"/>
  <c r="J612" i="6"/>
  <c r="B613" i="6"/>
  <c r="F613" i="6"/>
  <c r="H613" i="6"/>
  <c r="J613" i="6"/>
  <c r="B614" i="6"/>
  <c r="F614" i="6"/>
  <c r="H614" i="6"/>
  <c r="J614" i="6"/>
  <c r="B615" i="6"/>
  <c r="F615" i="6"/>
  <c r="H615" i="6"/>
  <c r="J615" i="6"/>
  <c r="B616" i="6"/>
  <c r="F616" i="6"/>
  <c r="H616" i="6"/>
  <c r="J616" i="6"/>
  <c r="B617" i="6"/>
  <c r="F617" i="6"/>
  <c r="H617" i="6"/>
  <c r="J617" i="6"/>
  <c r="B618" i="6"/>
  <c r="F618" i="6"/>
  <c r="H618" i="6"/>
  <c r="J618" i="6"/>
  <c r="B619" i="6"/>
  <c r="F619" i="6"/>
  <c r="H619" i="6"/>
  <c r="J619" i="6"/>
  <c r="B620" i="6"/>
  <c r="F620" i="6"/>
  <c r="H620" i="6"/>
  <c r="J620" i="6"/>
  <c r="B621" i="6"/>
  <c r="F621" i="6"/>
  <c r="H621" i="6"/>
  <c r="J621" i="6"/>
  <c r="B622" i="6"/>
  <c r="F622" i="6"/>
  <c r="H622" i="6"/>
  <c r="J622" i="6"/>
  <c r="B623" i="6"/>
  <c r="F623" i="6"/>
  <c r="H623" i="6"/>
  <c r="J623" i="6"/>
  <c r="B624" i="6"/>
  <c r="F624" i="6"/>
  <c r="H624" i="6"/>
  <c r="J624" i="6"/>
  <c r="B625" i="6"/>
  <c r="F625" i="6"/>
  <c r="H625" i="6"/>
  <c r="J625" i="6"/>
  <c r="B626" i="6"/>
  <c r="F626" i="6"/>
  <c r="H626" i="6"/>
  <c r="J626" i="6"/>
  <c r="B627" i="6"/>
  <c r="F627" i="6"/>
  <c r="H627" i="6"/>
  <c r="J627" i="6"/>
  <c r="B628" i="6"/>
  <c r="F628" i="6"/>
  <c r="H628" i="6"/>
  <c r="J628" i="6"/>
  <c r="B629" i="6"/>
  <c r="F629" i="6"/>
  <c r="H629" i="6"/>
  <c r="J629" i="6"/>
  <c r="B630" i="6"/>
  <c r="F630" i="6"/>
  <c r="H630" i="6"/>
  <c r="J630" i="6"/>
  <c r="B631" i="6"/>
  <c r="F631" i="6"/>
  <c r="H631" i="6"/>
  <c r="J631" i="6"/>
  <c r="B632" i="6"/>
  <c r="F632" i="6"/>
  <c r="H632" i="6"/>
  <c r="J632" i="6"/>
  <c r="B633" i="6"/>
  <c r="F633" i="6"/>
  <c r="H633" i="6"/>
  <c r="J633" i="6"/>
  <c r="B634" i="6"/>
  <c r="F634" i="6"/>
  <c r="H634" i="6"/>
  <c r="J634" i="6"/>
  <c r="B635" i="6"/>
  <c r="F635" i="6"/>
  <c r="H635" i="6"/>
  <c r="J635" i="6"/>
  <c r="B636" i="6"/>
  <c r="F636" i="6"/>
  <c r="H636" i="6"/>
  <c r="J636" i="6"/>
  <c r="B637" i="6"/>
  <c r="F637" i="6"/>
  <c r="H637" i="6"/>
  <c r="J637" i="6"/>
  <c r="B638" i="6"/>
  <c r="F638" i="6"/>
  <c r="H638" i="6"/>
  <c r="J638" i="6"/>
  <c r="B639" i="6"/>
  <c r="F639" i="6"/>
  <c r="H639" i="6"/>
  <c r="J639" i="6"/>
  <c r="B640" i="6"/>
  <c r="F640" i="6"/>
  <c r="H640" i="6"/>
  <c r="J640" i="6"/>
  <c r="B641" i="6"/>
  <c r="F641" i="6"/>
  <c r="H641" i="6"/>
  <c r="J641" i="6"/>
  <c r="B642" i="6"/>
  <c r="F642" i="6"/>
  <c r="H642" i="6"/>
  <c r="J642" i="6"/>
  <c r="B643" i="6"/>
  <c r="F643" i="6"/>
  <c r="H643" i="6"/>
  <c r="J643" i="6"/>
  <c r="B644" i="6"/>
  <c r="F644" i="6"/>
  <c r="H644" i="6"/>
  <c r="J644" i="6"/>
  <c r="B645" i="6"/>
  <c r="F645" i="6"/>
  <c r="H645" i="6"/>
  <c r="J645" i="6"/>
  <c r="B646" i="6"/>
  <c r="F646" i="6"/>
  <c r="H646" i="6"/>
  <c r="J646" i="6"/>
  <c r="B647" i="6"/>
  <c r="F647" i="6"/>
  <c r="H647" i="6"/>
  <c r="J647" i="6"/>
  <c r="B648" i="6"/>
  <c r="F648" i="6"/>
  <c r="H648" i="6"/>
  <c r="J648" i="6"/>
  <c r="B649" i="6"/>
  <c r="F649" i="6"/>
  <c r="H649" i="6"/>
  <c r="J649" i="6"/>
  <c r="B650" i="6"/>
  <c r="F650" i="6"/>
  <c r="H650" i="6"/>
  <c r="J650" i="6"/>
  <c r="B651" i="6"/>
  <c r="F651" i="6"/>
  <c r="H651" i="6"/>
  <c r="J651" i="6"/>
  <c r="B652" i="6"/>
  <c r="F652" i="6"/>
  <c r="H652" i="6"/>
  <c r="J652" i="6"/>
  <c r="B653" i="6"/>
  <c r="F653" i="6"/>
  <c r="H653" i="6"/>
  <c r="J653" i="6"/>
  <c r="B654" i="6"/>
  <c r="F654" i="6"/>
  <c r="H654" i="6"/>
  <c r="J654" i="6"/>
  <c r="B655" i="6"/>
  <c r="F655" i="6"/>
  <c r="H655" i="6"/>
  <c r="J655" i="6"/>
  <c r="B656" i="6"/>
  <c r="F656" i="6"/>
  <c r="H656" i="6"/>
  <c r="J656" i="6"/>
  <c r="B657" i="6"/>
  <c r="F657" i="6"/>
  <c r="H657" i="6"/>
  <c r="J657" i="6"/>
  <c r="B658" i="6"/>
  <c r="F658" i="6"/>
  <c r="H658" i="6"/>
  <c r="J658" i="6"/>
  <c r="B659" i="6"/>
  <c r="F659" i="6"/>
  <c r="H659" i="6"/>
  <c r="J659" i="6"/>
  <c r="B660" i="6"/>
  <c r="F660" i="6"/>
  <c r="H660" i="6"/>
  <c r="J660" i="6"/>
  <c r="B661" i="6"/>
  <c r="F661" i="6"/>
  <c r="H661" i="6"/>
  <c r="J661" i="6"/>
  <c r="B662" i="6"/>
  <c r="F662" i="6"/>
  <c r="H662" i="6"/>
  <c r="J662" i="6"/>
  <c r="B663" i="6"/>
  <c r="F663" i="6"/>
  <c r="H663" i="6"/>
  <c r="J663" i="6"/>
  <c r="B664" i="6"/>
  <c r="F664" i="6"/>
  <c r="H664" i="6"/>
  <c r="J664" i="6"/>
  <c r="B665" i="6"/>
  <c r="F665" i="6"/>
  <c r="H665" i="6"/>
  <c r="J665" i="6"/>
  <c r="B666" i="6"/>
  <c r="F666" i="6"/>
  <c r="H666" i="6"/>
  <c r="J666" i="6"/>
  <c r="B667" i="6"/>
  <c r="F667" i="6"/>
  <c r="H667" i="6"/>
  <c r="J667" i="6"/>
  <c r="B668" i="6"/>
  <c r="F668" i="6"/>
  <c r="H668" i="6"/>
  <c r="J668" i="6"/>
  <c r="B669" i="6"/>
  <c r="F669" i="6"/>
  <c r="H669" i="6"/>
  <c r="J669" i="6"/>
  <c r="B670" i="6"/>
  <c r="F670" i="6"/>
  <c r="H670" i="6"/>
  <c r="J670" i="6"/>
  <c r="B671" i="6"/>
  <c r="F671" i="6"/>
  <c r="H671" i="6"/>
  <c r="J671" i="6"/>
  <c r="B672" i="6"/>
  <c r="F672" i="6"/>
  <c r="H672" i="6"/>
  <c r="J672" i="6"/>
  <c r="B673" i="6"/>
  <c r="F673" i="6"/>
  <c r="H673" i="6"/>
  <c r="J673" i="6"/>
  <c r="B674" i="6"/>
  <c r="F674" i="6"/>
  <c r="H674" i="6"/>
  <c r="J674" i="6"/>
  <c r="B675" i="6"/>
  <c r="F675" i="6"/>
  <c r="H675" i="6"/>
  <c r="J675" i="6"/>
  <c r="B676" i="6"/>
  <c r="F676" i="6"/>
  <c r="H676" i="6"/>
  <c r="J676" i="6"/>
  <c r="B677" i="6"/>
  <c r="F677" i="6"/>
  <c r="H677" i="6"/>
  <c r="J677" i="6"/>
  <c r="B678" i="6"/>
  <c r="F678" i="6"/>
  <c r="H678" i="6"/>
  <c r="J678" i="6"/>
  <c r="B679" i="6"/>
  <c r="F679" i="6"/>
  <c r="H679" i="6"/>
  <c r="J679" i="6"/>
  <c r="B680" i="6"/>
  <c r="F680" i="6"/>
  <c r="H680" i="6"/>
  <c r="J680" i="6"/>
  <c r="B681" i="6"/>
  <c r="F681" i="6"/>
  <c r="H681" i="6"/>
  <c r="J681" i="6"/>
  <c r="B682" i="6"/>
  <c r="F682" i="6"/>
  <c r="H682" i="6"/>
  <c r="J682" i="6"/>
  <c r="B683" i="6"/>
  <c r="F683" i="6"/>
  <c r="H683" i="6"/>
  <c r="J683" i="6"/>
  <c r="B684" i="6"/>
  <c r="F684" i="6"/>
  <c r="H684" i="6"/>
  <c r="J684" i="6"/>
  <c r="B685" i="6"/>
  <c r="F685" i="6"/>
  <c r="H685" i="6"/>
  <c r="J685" i="6"/>
  <c r="B686" i="6"/>
  <c r="F686" i="6"/>
  <c r="H686" i="6"/>
  <c r="J686" i="6"/>
  <c r="B687" i="6"/>
  <c r="F687" i="6"/>
  <c r="H687" i="6"/>
  <c r="J687" i="6"/>
  <c r="B688" i="6"/>
  <c r="F688" i="6"/>
  <c r="H688" i="6"/>
  <c r="J688" i="6"/>
  <c r="B689" i="6"/>
  <c r="F689" i="6"/>
  <c r="H689" i="6"/>
  <c r="J689" i="6"/>
  <c r="B690" i="6"/>
  <c r="F690" i="6"/>
  <c r="H690" i="6"/>
  <c r="J690" i="6"/>
  <c r="B691" i="6"/>
  <c r="F691" i="6"/>
  <c r="H691" i="6"/>
  <c r="J691" i="6"/>
  <c r="B692" i="6"/>
  <c r="F692" i="6"/>
  <c r="H692" i="6"/>
  <c r="J692" i="6"/>
  <c r="B693" i="6"/>
  <c r="F693" i="6"/>
  <c r="H693" i="6"/>
  <c r="J693" i="6"/>
  <c r="B694" i="6"/>
  <c r="F694" i="6"/>
  <c r="H694" i="6"/>
  <c r="J694" i="6"/>
  <c r="B695" i="6"/>
  <c r="F695" i="6"/>
  <c r="H695" i="6"/>
  <c r="J695" i="6"/>
  <c r="B696" i="6"/>
  <c r="F696" i="6"/>
  <c r="H696" i="6"/>
  <c r="J696" i="6"/>
  <c r="B697" i="6"/>
  <c r="F697" i="6"/>
  <c r="H697" i="6"/>
  <c r="J697" i="6"/>
  <c r="B698" i="6"/>
  <c r="F698" i="6"/>
  <c r="H698" i="6"/>
  <c r="J698" i="6"/>
  <c r="B699" i="6"/>
  <c r="F699" i="6"/>
  <c r="H699" i="6"/>
  <c r="J699" i="6"/>
  <c r="B700" i="6"/>
  <c r="F700" i="6"/>
  <c r="H700" i="6"/>
  <c r="J700" i="6"/>
  <c r="B701" i="6"/>
  <c r="F701" i="6"/>
  <c r="H701" i="6"/>
  <c r="J701" i="6"/>
  <c r="B702" i="6"/>
  <c r="F702" i="6"/>
  <c r="H702" i="6"/>
  <c r="J702" i="6"/>
  <c r="B703" i="6"/>
  <c r="F703" i="6"/>
  <c r="H703" i="6"/>
  <c r="J703" i="6"/>
  <c r="B704" i="6"/>
  <c r="F704" i="6"/>
  <c r="H704" i="6"/>
  <c r="J704" i="6"/>
  <c r="B705" i="6"/>
  <c r="F705" i="6"/>
  <c r="H705" i="6"/>
  <c r="J705" i="6"/>
  <c r="B706" i="6"/>
  <c r="F706" i="6"/>
  <c r="H706" i="6"/>
  <c r="J706" i="6"/>
  <c r="B707" i="6"/>
  <c r="F707" i="6"/>
  <c r="H707" i="6"/>
  <c r="J707" i="6"/>
  <c r="B708" i="6"/>
  <c r="F708" i="6"/>
  <c r="H708" i="6"/>
  <c r="J708" i="6"/>
  <c r="B709" i="6"/>
  <c r="F709" i="6"/>
  <c r="H709" i="6"/>
  <c r="J709" i="6"/>
  <c r="B710" i="6"/>
  <c r="F710" i="6"/>
  <c r="H710" i="6"/>
  <c r="J710" i="6"/>
  <c r="B711" i="6"/>
  <c r="F711" i="6"/>
  <c r="H711" i="6"/>
  <c r="J711" i="6"/>
  <c r="B712" i="6"/>
  <c r="F712" i="6"/>
  <c r="H712" i="6"/>
  <c r="J712" i="6"/>
  <c r="B713" i="6"/>
  <c r="F713" i="6"/>
  <c r="H713" i="6"/>
  <c r="J713" i="6"/>
  <c r="B714" i="6"/>
  <c r="F714" i="6"/>
  <c r="H714" i="6"/>
  <c r="J714" i="6"/>
  <c r="B715" i="6"/>
  <c r="F715" i="6"/>
  <c r="H715" i="6"/>
  <c r="J715" i="6"/>
  <c r="B716" i="6"/>
  <c r="F716" i="6"/>
  <c r="H716" i="6"/>
  <c r="J716" i="6"/>
  <c r="B717" i="6"/>
  <c r="F717" i="6"/>
  <c r="H717" i="6"/>
  <c r="J717" i="6"/>
  <c r="B718" i="6"/>
  <c r="F718" i="6"/>
  <c r="H718" i="6"/>
  <c r="J718" i="6"/>
  <c r="B719" i="6"/>
  <c r="F719" i="6"/>
  <c r="H719" i="6"/>
  <c r="J719" i="6"/>
  <c r="B720" i="6"/>
  <c r="F720" i="6"/>
  <c r="H720" i="6"/>
  <c r="J720" i="6"/>
  <c r="B721" i="6"/>
  <c r="F721" i="6"/>
  <c r="H721" i="6"/>
  <c r="J721" i="6"/>
  <c r="B722" i="6"/>
  <c r="F722" i="6"/>
  <c r="H722" i="6"/>
  <c r="J722" i="6"/>
  <c r="B723" i="6"/>
  <c r="F723" i="6"/>
  <c r="H723" i="6"/>
  <c r="J723" i="6"/>
  <c r="B724" i="6"/>
  <c r="F724" i="6"/>
  <c r="H724" i="6"/>
  <c r="J724" i="6"/>
  <c r="B725" i="6"/>
  <c r="F725" i="6"/>
  <c r="H725" i="6"/>
  <c r="J725" i="6"/>
  <c r="B726" i="6"/>
  <c r="F726" i="6"/>
  <c r="H726" i="6"/>
  <c r="J726" i="6"/>
  <c r="B727" i="6"/>
  <c r="F727" i="6"/>
  <c r="H727" i="6"/>
  <c r="J727" i="6"/>
  <c r="B728" i="6"/>
  <c r="F728" i="6"/>
  <c r="H728" i="6"/>
  <c r="J728" i="6"/>
  <c r="B729" i="6"/>
  <c r="F729" i="6"/>
  <c r="H729" i="6"/>
  <c r="J729" i="6"/>
  <c r="B730" i="6"/>
  <c r="F730" i="6"/>
  <c r="H730" i="6"/>
  <c r="J730" i="6"/>
  <c r="B731" i="6"/>
  <c r="F731" i="6"/>
  <c r="H731" i="6"/>
  <c r="J731" i="6"/>
  <c r="B732" i="6"/>
  <c r="F732" i="6"/>
  <c r="H732" i="6"/>
  <c r="J732" i="6"/>
  <c r="B733" i="6"/>
  <c r="F733" i="6"/>
  <c r="H733" i="6"/>
  <c r="J733" i="6"/>
  <c r="B734" i="6"/>
  <c r="F734" i="6"/>
  <c r="H734" i="6"/>
  <c r="J734" i="6"/>
  <c r="B735" i="6"/>
  <c r="F735" i="6"/>
  <c r="H735" i="6"/>
  <c r="J735" i="6"/>
  <c r="B736" i="6"/>
  <c r="F736" i="6"/>
  <c r="H736" i="6"/>
  <c r="J736" i="6"/>
  <c r="B737" i="6"/>
  <c r="F737" i="6"/>
  <c r="H737" i="6"/>
  <c r="J737" i="6"/>
  <c r="B738" i="6"/>
  <c r="F738" i="6"/>
  <c r="H738" i="6"/>
  <c r="J738" i="6"/>
  <c r="B739" i="6"/>
  <c r="F739" i="6"/>
  <c r="H739" i="6"/>
  <c r="J739" i="6"/>
  <c r="B740" i="6"/>
  <c r="F740" i="6"/>
  <c r="H740" i="6"/>
  <c r="J740" i="6"/>
  <c r="B741" i="6"/>
  <c r="F741" i="6"/>
  <c r="H741" i="6"/>
  <c r="J741" i="6"/>
  <c r="B742" i="6"/>
  <c r="F742" i="6"/>
  <c r="H742" i="6"/>
  <c r="J742" i="6"/>
  <c r="B743" i="6"/>
  <c r="F743" i="6"/>
  <c r="H743" i="6"/>
  <c r="J743" i="6"/>
  <c r="B744" i="6"/>
  <c r="F744" i="6"/>
  <c r="H744" i="6"/>
  <c r="J744" i="6"/>
  <c r="B745" i="6"/>
  <c r="F745" i="6"/>
  <c r="H745" i="6"/>
  <c r="J745" i="6"/>
  <c r="B746" i="6"/>
  <c r="F746" i="6"/>
  <c r="H746" i="6"/>
  <c r="J746" i="6"/>
  <c r="B747" i="6"/>
  <c r="F747" i="6"/>
  <c r="H747" i="6"/>
  <c r="J747" i="6"/>
  <c r="B748" i="6"/>
  <c r="F748" i="6"/>
  <c r="H748" i="6"/>
  <c r="J748" i="6"/>
  <c r="B749" i="6"/>
  <c r="F749" i="6"/>
  <c r="H749" i="6"/>
  <c r="J749" i="6"/>
  <c r="B750" i="6"/>
  <c r="F750" i="6"/>
  <c r="H750" i="6"/>
  <c r="J750" i="6"/>
  <c r="B751" i="6"/>
  <c r="F751" i="6"/>
  <c r="H751" i="6"/>
  <c r="J751" i="6"/>
  <c r="B752" i="6"/>
  <c r="F752" i="6"/>
  <c r="H752" i="6"/>
  <c r="J752" i="6"/>
  <c r="B753" i="6"/>
  <c r="F753" i="6"/>
  <c r="H753" i="6"/>
  <c r="J753" i="6"/>
  <c r="B754" i="6"/>
  <c r="F754" i="6"/>
  <c r="H754" i="6"/>
  <c r="J754" i="6"/>
  <c r="B755" i="6"/>
  <c r="F755" i="6"/>
  <c r="H755" i="6"/>
  <c r="J755" i="6"/>
  <c r="B756" i="6"/>
  <c r="F756" i="6"/>
  <c r="H756" i="6"/>
  <c r="J756" i="6"/>
  <c r="B757" i="6"/>
  <c r="F757" i="6"/>
  <c r="H757" i="6"/>
  <c r="J757" i="6"/>
  <c r="B758" i="6"/>
  <c r="F758" i="6"/>
  <c r="H758" i="6"/>
  <c r="J758" i="6"/>
  <c r="B759" i="6"/>
  <c r="F759" i="6"/>
  <c r="H759" i="6"/>
  <c r="J759" i="6"/>
  <c r="B760" i="6"/>
  <c r="F760" i="6"/>
  <c r="H760" i="6"/>
  <c r="J760" i="6"/>
  <c r="B761" i="6"/>
  <c r="F761" i="6"/>
  <c r="H761" i="6"/>
  <c r="J761" i="6"/>
  <c r="K435" i="6" l="1"/>
  <c r="K363" i="6"/>
  <c r="K361" i="6"/>
  <c r="K347" i="6"/>
  <c r="K289" i="6"/>
  <c r="K275" i="6"/>
  <c r="K211" i="6"/>
  <c r="K189" i="6"/>
  <c r="K187" i="6"/>
  <c r="K185" i="6"/>
  <c r="K171" i="6"/>
  <c r="K165" i="6"/>
  <c r="K668" i="6"/>
  <c r="K650" i="6"/>
  <c r="K646" i="6"/>
  <c r="K576" i="6"/>
  <c r="K568" i="6"/>
  <c r="K560" i="6"/>
  <c r="K558" i="6"/>
  <c r="K496" i="6"/>
  <c r="K494" i="6"/>
  <c r="K480" i="6"/>
  <c r="K472" i="6"/>
  <c r="K144" i="6"/>
  <c r="K648" i="6"/>
  <c r="K656" i="6"/>
  <c r="K483" i="6"/>
  <c r="K443" i="6"/>
  <c r="K437" i="6"/>
  <c r="K424" i="6"/>
  <c r="K422" i="6"/>
  <c r="K16" i="6"/>
  <c r="K120" i="6"/>
  <c r="K96" i="6"/>
  <c r="K88" i="6"/>
  <c r="K749" i="6"/>
  <c r="K697" i="6"/>
  <c r="K683" i="6"/>
  <c r="K631" i="6"/>
  <c r="K523" i="6"/>
  <c r="K373" i="6"/>
  <c r="K371" i="6"/>
  <c r="K365" i="6"/>
  <c r="K757" i="6"/>
  <c r="K725" i="6"/>
  <c r="K701" i="6"/>
  <c r="K597" i="6"/>
  <c r="K595" i="6"/>
  <c r="K593" i="6"/>
  <c r="K581" i="6"/>
  <c r="K710" i="6"/>
  <c r="K672" i="6"/>
  <c r="K230" i="6"/>
  <c r="K748" i="6"/>
  <c r="K742" i="6"/>
  <c r="K734" i="6"/>
  <c r="K573" i="6"/>
  <c r="K557" i="6"/>
  <c r="K549" i="6"/>
  <c r="K541" i="6"/>
  <c r="K533" i="6"/>
  <c r="K507" i="6"/>
  <c r="K360" i="6"/>
  <c r="K336" i="6"/>
  <c r="K328" i="6"/>
  <c r="K326" i="6"/>
  <c r="K324" i="6"/>
  <c r="K278" i="6"/>
  <c r="K200" i="6"/>
  <c r="K184" i="6"/>
  <c r="K698" i="6"/>
  <c r="K694" i="6"/>
  <c r="K690" i="6"/>
  <c r="K461" i="6"/>
  <c r="K224" i="6"/>
  <c r="K632" i="6"/>
  <c r="K38" i="6"/>
  <c r="K733" i="6"/>
  <c r="K709" i="6"/>
  <c r="K552" i="6"/>
  <c r="K419" i="6"/>
  <c r="K411" i="6"/>
  <c r="K395" i="6"/>
  <c r="K253" i="6"/>
  <c r="K243" i="6"/>
  <c r="K603" i="6"/>
  <c r="K432" i="6"/>
  <c r="K155" i="6"/>
  <c r="K621" i="6"/>
  <c r="K485" i="6"/>
  <c r="K400" i="6"/>
  <c r="K264" i="6"/>
  <c r="K109" i="6"/>
  <c r="K27" i="6"/>
  <c r="K738" i="6"/>
  <c r="K515" i="6"/>
  <c r="K509" i="6"/>
  <c r="K312" i="6"/>
  <c r="K306" i="6"/>
  <c r="K288" i="6"/>
  <c r="K280" i="6"/>
  <c r="K179" i="6"/>
  <c r="K147" i="6"/>
  <c r="K50" i="6"/>
  <c r="K48" i="6"/>
  <c r="K42" i="6"/>
  <c r="K40" i="6"/>
  <c r="K679" i="6"/>
  <c r="K620" i="6"/>
  <c r="K608" i="6"/>
  <c r="K531" i="6"/>
  <c r="K529" i="6"/>
  <c r="K456" i="6"/>
  <c r="K448" i="6"/>
  <c r="K408" i="6"/>
  <c r="K387" i="6"/>
  <c r="K339" i="6"/>
  <c r="K258" i="6"/>
  <c r="K208" i="6"/>
  <c r="K149" i="6"/>
  <c r="K131" i="6"/>
  <c r="K93" i="6"/>
  <c r="K24" i="6"/>
  <c r="K718" i="6"/>
  <c r="K714" i="6"/>
  <c r="K663" i="6"/>
  <c r="K661" i="6"/>
  <c r="K627" i="6"/>
  <c r="K592" i="6"/>
  <c r="K584" i="6"/>
  <c r="K582" i="6"/>
  <c r="K505" i="6"/>
  <c r="K501" i="6"/>
  <c r="K499" i="6"/>
  <c r="K497" i="6"/>
  <c r="K491" i="6"/>
  <c r="K467" i="6"/>
  <c r="K315" i="6"/>
  <c r="K299" i="6"/>
  <c r="K291" i="6"/>
  <c r="K232" i="6"/>
  <c r="K123" i="6"/>
  <c r="K107" i="6"/>
  <c r="K35" i="6"/>
  <c r="K29" i="6"/>
  <c r="K741" i="6"/>
  <c r="K643" i="6"/>
  <c r="K637" i="6"/>
  <c r="K635" i="6"/>
  <c r="K633" i="6"/>
  <c r="K607" i="6"/>
  <c r="K579" i="6"/>
  <c r="K544" i="6"/>
  <c r="K479" i="6"/>
  <c r="K469" i="6"/>
  <c r="K384" i="6"/>
  <c r="K333" i="6"/>
  <c r="K323" i="6"/>
  <c r="K277" i="6"/>
  <c r="K198" i="6"/>
  <c r="K83" i="6"/>
  <c r="K69" i="6"/>
  <c r="K67" i="6"/>
  <c r="K65" i="6"/>
  <c r="K61" i="6"/>
  <c r="K715" i="6"/>
  <c r="K674" i="6"/>
  <c r="K619" i="6"/>
  <c r="K613" i="6"/>
  <c r="K611" i="6"/>
  <c r="K609" i="6"/>
  <c r="K555" i="6"/>
  <c r="K528" i="6"/>
  <c r="K459" i="6"/>
  <c r="K457" i="6"/>
  <c r="K160" i="6"/>
  <c r="K130" i="6"/>
  <c r="K23" i="6"/>
  <c r="K11" i="6"/>
  <c r="K691" i="6"/>
  <c r="K664" i="6"/>
  <c r="K539" i="6"/>
  <c r="K492" i="6"/>
  <c r="K397" i="6"/>
  <c r="K267" i="6"/>
  <c r="K219" i="6"/>
  <c r="K197" i="6"/>
  <c r="K195" i="6"/>
  <c r="K134" i="6"/>
  <c r="K132" i="6"/>
  <c r="K86" i="6"/>
  <c r="K737" i="6"/>
  <c r="K704" i="6"/>
  <c r="K659" i="6"/>
  <c r="K645" i="6"/>
  <c r="K540" i="6"/>
  <c r="K538" i="6"/>
  <c r="K446" i="6"/>
  <c r="K444" i="6"/>
  <c r="K440" i="6"/>
  <c r="K438" i="6"/>
  <c r="K436" i="6"/>
  <c r="K434" i="6"/>
  <c r="K407" i="6"/>
  <c r="K405" i="6"/>
  <c r="K403" i="6"/>
  <c r="K401" i="6"/>
  <c r="K389" i="6"/>
  <c r="K300" i="6"/>
  <c r="K296" i="6"/>
  <c r="K294" i="6"/>
  <c r="K292" i="6"/>
  <c r="K263" i="6"/>
  <c r="K259" i="6"/>
  <c r="K257" i="6"/>
  <c r="K216" i="6"/>
  <c r="K214" i="6"/>
  <c r="K212" i="6"/>
  <c r="K210" i="6"/>
  <c r="K152" i="6"/>
  <c r="K150" i="6"/>
  <c r="K136" i="6"/>
  <c r="K45" i="6"/>
  <c r="K43" i="6"/>
  <c r="K41" i="6"/>
  <c r="K39" i="6"/>
  <c r="K754" i="6"/>
  <c r="K750" i="6"/>
  <c r="K708" i="6"/>
  <c r="K616" i="6"/>
  <c r="K553" i="6"/>
  <c r="K493" i="6"/>
  <c r="K372" i="6"/>
  <c r="K352" i="6"/>
  <c r="K325" i="6"/>
  <c r="K221" i="6"/>
  <c r="K157" i="6"/>
  <c r="K148" i="6"/>
  <c r="K121" i="6"/>
  <c r="K64" i="6"/>
  <c r="K8" i="6"/>
  <c r="K6" i="6"/>
  <c r="K629" i="6"/>
  <c r="K618" i="6"/>
  <c r="K591" i="6"/>
  <c r="K587" i="6"/>
  <c r="K256" i="6"/>
  <c r="K213" i="6"/>
  <c r="K196" i="6"/>
  <c r="K192" i="6"/>
  <c r="K163" i="6"/>
  <c r="K161" i="6"/>
  <c r="K119" i="6"/>
  <c r="K101" i="6"/>
  <c r="K84" i="6"/>
  <c r="K72" i="6"/>
  <c r="K66" i="6"/>
  <c r="K13" i="6"/>
  <c r="K470" i="6"/>
  <c r="K451" i="6"/>
  <c r="K449" i="6"/>
  <c r="K416" i="6"/>
  <c r="K414" i="6"/>
  <c r="K385" i="6"/>
  <c r="K301" i="6"/>
  <c r="K272" i="6"/>
  <c r="K270" i="6"/>
  <c r="K268" i="6"/>
  <c r="K713" i="6"/>
  <c r="K667" i="6"/>
  <c r="K604" i="6"/>
  <c r="K520" i="6"/>
  <c r="K518" i="6"/>
  <c r="K516" i="6"/>
  <c r="K504" i="6"/>
  <c r="K468" i="6"/>
  <c r="K421" i="6"/>
  <c r="K383" i="6"/>
  <c r="K379" i="6"/>
  <c r="K377" i="6"/>
  <c r="K309" i="6"/>
  <c r="K307" i="6"/>
  <c r="K305" i="6"/>
  <c r="K303" i="6"/>
  <c r="K248" i="6"/>
  <c r="K246" i="6"/>
  <c r="K244" i="6"/>
  <c r="K240" i="6"/>
  <c r="K238" i="6"/>
  <c r="K236" i="6"/>
  <c r="K176" i="6"/>
  <c r="K174" i="6"/>
  <c r="K172" i="6"/>
  <c r="K170" i="6"/>
  <c r="K112" i="6"/>
  <c r="K56" i="6"/>
  <c r="K30" i="6"/>
  <c r="K730" i="6"/>
  <c r="K726" i="6"/>
  <c r="K722" i="6"/>
  <c r="K688" i="6"/>
  <c r="K684" i="6"/>
  <c r="K563" i="6"/>
  <c r="K512" i="6"/>
  <c r="K510" i="6"/>
  <c r="K508" i="6"/>
  <c r="K481" i="6"/>
  <c r="K413" i="6"/>
  <c r="K398" i="6"/>
  <c r="K396" i="6"/>
  <c r="K394" i="6"/>
  <c r="K349" i="6"/>
  <c r="K269" i="6"/>
  <c r="K207" i="6"/>
  <c r="K205" i="6"/>
  <c r="K203" i="6"/>
  <c r="K201" i="6"/>
  <c r="K158" i="6"/>
  <c r="K133" i="6"/>
  <c r="K91" i="6"/>
  <c r="K89" i="6"/>
  <c r="K85" i="6"/>
  <c r="K77" i="6"/>
  <c r="K75" i="6"/>
  <c r="K5" i="6"/>
  <c r="K3" i="6"/>
  <c r="K675" i="6"/>
  <c r="K640" i="6"/>
  <c r="K605" i="6"/>
  <c r="K565" i="6"/>
  <c r="K517" i="6"/>
  <c r="K376" i="6"/>
  <c r="K341" i="6"/>
  <c r="K304" i="6"/>
  <c r="K251" i="6"/>
  <c r="K237" i="6"/>
  <c r="K235" i="6"/>
  <c r="K173" i="6"/>
  <c r="K141" i="6"/>
  <c r="K139" i="6"/>
  <c r="K137" i="6"/>
  <c r="K125" i="6"/>
  <c r="K51" i="6"/>
  <c r="K744" i="6"/>
  <c r="K731" i="6"/>
  <c r="K682" i="6"/>
  <c r="K676" i="6"/>
  <c r="K527" i="6"/>
  <c r="K466" i="6"/>
  <c r="K355" i="6"/>
  <c r="K353" i="6"/>
  <c r="K351" i="6"/>
  <c r="K168" i="6"/>
  <c r="K166" i="6"/>
  <c r="K128" i="6"/>
  <c r="K126" i="6"/>
  <c r="K124" i="6"/>
  <c r="K80" i="6"/>
  <c r="K78" i="6"/>
  <c r="K76" i="6"/>
  <c r="K477" i="6"/>
  <c r="K368" i="6"/>
  <c r="K320" i="6"/>
  <c r="K183" i="6"/>
  <c r="K181" i="6"/>
  <c r="K54" i="6"/>
  <c r="K52" i="6"/>
  <c r="K746" i="6"/>
  <c r="K525" i="6"/>
  <c r="K464" i="6"/>
  <c r="K475" i="6"/>
  <c r="K366" i="6"/>
  <c r="K316" i="6"/>
  <c r="K755" i="6"/>
  <c r="K706" i="6"/>
  <c r="K702" i="6"/>
  <c r="K602" i="6"/>
  <c r="K536" i="6"/>
  <c r="K534" i="6"/>
  <c r="K429" i="6"/>
  <c r="K427" i="6"/>
  <c r="K425" i="6"/>
  <c r="K283" i="6"/>
  <c r="K279" i="6"/>
  <c r="K229" i="6"/>
  <c r="K227" i="6"/>
  <c r="K225" i="6"/>
  <c r="K146" i="6"/>
  <c r="K21" i="6"/>
  <c r="K19" i="6"/>
  <c r="K473" i="6"/>
  <c r="K364" i="6"/>
  <c r="K318" i="6"/>
  <c r="K761" i="6"/>
  <c r="K717" i="6"/>
  <c r="K711" i="6"/>
  <c r="K655" i="6"/>
  <c r="K651" i="6"/>
  <c r="K600" i="6"/>
  <c r="K598" i="6"/>
  <c r="K547" i="6"/>
  <c r="K545" i="6"/>
  <c r="K543" i="6"/>
  <c r="K488" i="6"/>
  <c r="K486" i="6"/>
  <c r="K484" i="6"/>
  <c r="K331" i="6"/>
  <c r="K329" i="6"/>
  <c r="K190" i="6"/>
  <c r="K104" i="6"/>
  <c r="K102" i="6"/>
  <c r="K100" i="6"/>
  <c r="K59" i="6"/>
  <c r="K462" i="6"/>
  <c r="K412" i="6"/>
  <c r="K759" i="6"/>
  <c r="K693" i="6"/>
  <c r="K642" i="6"/>
  <c r="K589" i="6"/>
  <c r="K63" i="6"/>
  <c r="K32" i="6"/>
  <c r="K28" i="6"/>
  <c r="K26" i="6"/>
  <c r="K735" i="6"/>
  <c r="K724" i="6"/>
  <c r="K720" i="6"/>
  <c r="K680" i="6"/>
  <c r="K671" i="6"/>
  <c r="K669" i="6"/>
  <c r="K662" i="6"/>
  <c r="K624" i="6"/>
  <c r="K622" i="6"/>
  <c r="K571" i="6"/>
  <c r="K569" i="6"/>
  <c r="K567" i="6"/>
  <c r="K556" i="6"/>
  <c r="K554" i="6"/>
  <c r="K445" i="6"/>
  <c r="K392" i="6"/>
  <c r="K390" i="6"/>
  <c r="K388" i="6"/>
  <c r="K344" i="6"/>
  <c r="K342" i="6"/>
  <c r="K340" i="6"/>
  <c r="K338" i="6"/>
  <c r="K159" i="6"/>
  <c r="K115" i="6"/>
  <c r="K113" i="6"/>
  <c r="K37" i="6"/>
  <c r="K660" i="6"/>
  <c r="K658" i="6"/>
  <c r="K647" i="6"/>
  <c r="K638" i="6"/>
  <c r="K585" i="6"/>
  <c r="K583" i="6"/>
  <c r="K574" i="6"/>
  <c r="K521" i="6"/>
  <c r="K471" i="6"/>
  <c r="K460" i="6"/>
  <c r="K458" i="6"/>
  <c r="K447" i="6"/>
  <c r="K327" i="6"/>
  <c r="K317" i="6"/>
  <c r="K310" i="6"/>
  <c r="K293" i="6"/>
  <c r="K245" i="6"/>
  <c r="K206" i="6"/>
  <c r="K199" i="6"/>
  <c r="K188" i="6"/>
  <c r="K186" i="6"/>
  <c r="K177" i="6"/>
  <c r="K164" i="6"/>
  <c r="K153" i="6"/>
  <c r="K142" i="6"/>
  <c r="K94" i="6"/>
  <c r="K92" i="6"/>
  <c r="K90" i="6"/>
  <c r="K70" i="6"/>
  <c r="K57" i="6"/>
  <c r="K53" i="6"/>
  <c r="K46" i="6"/>
  <c r="K15" i="6"/>
  <c r="K4" i="6"/>
  <c r="K727" i="6"/>
  <c r="K700" i="6"/>
  <c r="K689" i="6"/>
  <c r="K740" i="6"/>
  <c r="K729" i="6"/>
  <c r="K703" i="6"/>
  <c r="K687" i="6"/>
  <c r="K636" i="6"/>
  <c r="K634" i="6"/>
  <c r="K625" i="6"/>
  <c r="K623" i="6"/>
  <c r="K614" i="6"/>
  <c r="K572" i="6"/>
  <c r="K570" i="6"/>
  <c r="K561" i="6"/>
  <c r="K559" i="6"/>
  <c r="K550" i="6"/>
  <c r="K502" i="6"/>
  <c r="K478" i="6"/>
  <c r="K441" i="6"/>
  <c r="K430" i="6"/>
  <c r="K417" i="6"/>
  <c r="K406" i="6"/>
  <c r="K382" i="6"/>
  <c r="K380" i="6"/>
  <c r="K369" i="6"/>
  <c r="K358" i="6"/>
  <c r="K356" i="6"/>
  <c r="K345" i="6"/>
  <c r="K334" i="6"/>
  <c r="K321" i="6"/>
  <c r="K308" i="6"/>
  <c r="K297" i="6"/>
  <c r="K286" i="6"/>
  <c r="K284" i="6"/>
  <c r="K273" i="6"/>
  <c r="K262" i="6"/>
  <c r="K260" i="6"/>
  <c r="K249" i="6"/>
  <c r="K217" i="6"/>
  <c r="K193" i="6"/>
  <c r="K140" i="6"/>
  <c r="K118" i="6"/>
  <c r="K116" i="6"/>
  <c r="K105" i="6"/>
  <c r="K81" i="6"/>
  <c r="K68" i="6"/>
  <c r="K55" i="6"/>
  <c r="K44" i="6"/>
  <c r="K33" i="6"/>
  <c r="K22" i="6"/>
  <c r="K9" i="6"/>
  <c r="K696" i="6"/>
  <c r="K685" i="6"/>
  <c r="K747" i="6"/>
  <c r="K736" i="6"/>
  <c r="K760" i="6"/>
  <c r="K743" i="6"/>
  <c r="K723" i="6"/>
  <c r="K716" i="6"/>
  <c r="K712" i="6"/>
  <c r="K705" i="6"/>
  <c r="K654" i="6"/>
  <c r="K601" i="6"/>
  <c r="K599" i="6"/>
  <c r="K590" i="6"/>
  <c r="K537" i="6"/>
  <c r="K535" i="6"/>
  <c r="K526" i="6"/>
  <c r="K513" i="6"/>
  <c r="K500" i="6"/>
  <c r="K498" i="6"/>
  <c r="K489" i="6"/>
  <c r="K476" i="6"/>
  <c r="K465" i="6"/>
  <c r="K454" i="6"/>
  <c r="K452" i="6"/>
  <c r="K428" i="6"/>
  <c r="K415" i="6"/>
  <c r="K404" i="6"/>
  <c r="K402" i="6"/>
  <c r="K393" i="6"/>
  <c r="K343" i="6"/>
  <c r="K332" i="6"/>
  <c r="K330" i="6"/>
  <c r="K319" i="6"/>
  <c r="K271" i="6"/>
  <c r="K241" i="6"/>
  <c r="K228" i="6"/>
  <c r="K226" i="6"/>
  <c r="K215" i="6"/>
  <c r="K204" i="6"/>
  <c r="K182" i="6"/>
  <c r="K169" i="6"/>
  <c r="K129" i="6"/>
  <c r="K103" i="6"/>
  <c r="K99" i="6"/>
  <c r="K79" i="6"/>
  <c r="K20" i="6"/>
  <c r="K7" i="6"/>
  <c r="K17" i="6"/>
  <c r="K753" i="6"/>
  <c r="K758" i="6"/>
  <c r="K745" i="6"/>
  <c r="K719" i="6"/>
  <c r="K699" i="6"/>
  <c r="K692" i="6"/>
  <c r="K677" i="6"/>
  <c r="K641" i="6"/>
  <c r="K639" i="6"/>
  <c r="K630" i="6"/>
  <c r="K588" i="6"/>
  <c r="K586" i="6"/>
  <c r="K577" i="6"/>
  <c r="K575" i="6"/>
  <c r="K566" i="6"/>
  <c r="K524" i="6"/>
  <c r="K522" i="6"/>
  <c r="K511" i="6"/>
  <c r="K381" i="6"/>
  <c r="K374" i="6"/>
  <c r="K357" i="6"/>
  <c r="K350" i="6"/>
  <c r="K313" i="6"/>
  <c r="K302" i="6"/>
  <c r="K285" i="6"/>
  <c r="K261" i="6"/>
  <c r="K254" i="6"/>
  <c r="K239" i="6"/>
  <c r="K233" i="6"/>
  <c r="K180" i="6"/>
  <c r="K167" i="6"/>
  <c r="K156" i="6"/>
  <c r="K145" i="6"/>
  <c r="K117" i="6"/>
  <c r="K110" i="6"/>
  <c r="K97" i="6"/>
  <c r="K73" i="6"/>
  <c r="K62" i="6"/>
  <c r="K49" i="6"/>
  <c r="K14" i="6"/>
  <c r="K751" i="6"/>
  <c r="K707" i="6"/>
  <c r="K756" i="6"/>
  <c r="K752" i="6"/>
  <c r="K739" i="6"/>
  <c r="K732" i="6"/>
  <c r="K728" i="6"/>
  <c r="K721" i="6"/>
  <c r="K695" i="6"/>
  <c r="K666" i="6"/>
  <c r="K653" i="6"/>
  <c r="K617" i="6"/>
  <c r="K615" i="6"/>
  <c r="K606" i="6"/>
  <c r="K551" i="6"/>
  <c r="K542" i="6"/>
  <c r="K453" i="6"/>
  <c r="K433" i="6"/>
  <c r="K420" i="6"/>
  <c r="K409" i="6"/>
  <c r="K370" i="6"/>
  <c r="K348" i="6"/>
  <c r="K337" i="6"/>
  <c r="K281" i="6"/>
  <c r="K276" i="6"/>
  <c r="K274" i="6"/>
  <c r="K265" i="6"/>
  <c r="K252" i="6"/>
  <c r="K250" i="6"/>
  <c r="K222" i="6"/>
  <c r="K220" i="6"/>
  <c r="K209" i="6"/>
  <c r="K194" i="6"/>
  <c r="K143" i="6"/>
  <c r="K108" i="6"/>
  <c r="K106" i="6"/>
  <c r="K95" i="6"/>
  <c r="K60" i="6"/>
  <c r="K47" i="6"/>
  <c r="K36" i="6"/>
  <c r="K25" i="6"/>
  <c r="K12" i="6"/>
  <c r="K487" i="6"/>
  <c r="K346" i="6"/>
  <c r="K231" i="6"/>
  <c r="K135" i="6"/>
  <c r="K58" i="6"/>
  <c r="K657" i="6"/>
  <c r="K495" i="6"/>
  <c r="K482" i="6"/>
  <c r="K431" i="6"/>
  <c r="K418" i="6"/>
  <c r="K367" i="6"/>
  <c r="K354" i="6"/>
  <c r="K290" i="6"/>
  <c r="K665" i="6"/>
  <c r="K410" i="6"/>
  <c r="K359" i="6"/>
  <c r="K82" i="6"/>
  <c r="K423" i="6"/>
  <c r="K295" i="6"/>
  <c r="K242" i="6"/>
  <c r="K202" i="6"/>
  <c r="K175" i="6"/>
  <c r="K644" i="6"/>
  <c r="K514" i="6"/>
  <c r="K463" i="6"/>
  <c r="K450" i="6"/>
  <c r="K399" i="6"/>
  <c r="K386" i="6"/>
  <c r="K335" i="6"/>
  <c r="K322" i="6"/>
  <c r="K255" i="6"/>
  <c r="K218" i="6"/>
  <c r="K191" i="6"/>
  <c r="K122" i="6"/>
  <c r="K98" i="6"/>
  <c r="K71" i="6"/>
  <c r="K31" i="6"/>
  <c r="K18" i="6"/>
  <c r="K670" i="6"/>
  <c r="K474" i="6"/>
  <c r="K266" i="6"/>
  <c r="K162" i="6"/>
  <c r="K678" i="6"/>
  <c r="K673" i="6"/>
  <c r="K649" i="6"/>
  <c r="K628" i="6"/>
  <c r="K626" i="6"/>
  <c r="K612" i="6"/>
  <c r="K610" i="6"/>
  <c r="K596" i="6"/>
  <c r="K594" i="6"/>
  <c r="K580" i="6"/>
  <c r="K578" i="6"/>
  <c r="K564" i="6"/>
  <c r="K562" i="6"/>
  <c r="K548" i="6"/>
  <c r="K546" i="6"/>
  <c r="K532" i="6"/>
  <c r="K530" i="6"/>
  <c r="K503" i="6"/>
  <c r="K490" i="6"/>
  <c r="K439" i="6"/>
  <c r="K426" i="6"/>
  <c r="K375" i="6"/>
  <c r="K362" i="6"/>
  <c r="K311" i="6"/>
  <c r="K298" i="6"/>
  <c r="K282" i="6"/>
  <c r="K234" i="6"/>
  <c r="K178" i="6"/>
  <c r="K151" i="6"/>
  <c r="K138" i="6"/>
  <c r="K111" i="6"/>
  <c r="K87" i="6"/>
  <c r="K74" i="6"/>
  <c r="K34" i="6"/>
  <c r="K686" i="6"/>
  <c r="K681" i="6"/>
  <c r="K652" i="6"/>
  <c r="K519" i="6"/>
  <c r="K506" i="6"/>
  <c r="K455" i="6"/>
  <c r="K442" i="6"/>
  <c r="K391" i="6"/>
  <c r="K378" i="6"/>
  <c r="K314" i="6"/>
  <c r="K287" i="6"/>
  <c r="K247" i="6"/>
  <c r="K223" i="6"/>
  <c r="K154" i="6"/>
  <c r="K127" i="6"/>
  <c r="K114" i="6"/>
  <c r="K10" i="6"/>
  <c r="S4" i="5"/>
  <c r="S5" i="5"/>
  <c r="S6" i="5"/>
  <c r="S7" i="5"/>
  <c r="S8" i="5"/>
  <c r="S9" i="5"/>
  <c r="S10" i="5"/>
  <c r="S11" i="5"/>
  <c r="Q4" i="5"/>
  <c r="Q5" i="5"/>
  <c r="Q6" i="5"/>
  <c r="Q7" i="5"/>
  <c r="Q8" i="5"/>
  <c r="Q9" i="5"/>
  <c r="Q10" i="5"/>
  <c r="Q11" i="5"/>
  <c r="S3" i="5"/>
  <c r="Q3" i="5"/>
  <c r="C3" i="5"/>
  <c r="C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C245" i="5"/>
  <c r="C246" i="5"/>
  <c r="C247" i="5"/>
  <c r="C248" i="5"/>
  <c r="C249" i="5"/>
  <c r="C250" i="5"/>
  <c r="C251" i="5"/>
  <c r="C252" i="5"/>
  <c r="C253" i="5"/>
  <c r="C254" i="5"/>
  <c r="C255" i="5"/>
  <c r="C256" i="5"/>
  <c r="C257" i="5"/>
  <c r="C258" i="5"/>
  <c r="C259" i="5"/>
  <c r="C260" i="5"/>
  <c r="C261" i="5"/>
  <c r="C262" i="5"/>
  <c r="C263" i="5"/>
  <c r="C264" i="5"/>
  <c r="C265" i="5"/>
  <c r="C266" i="5"/>
  <c r="C267" i="5"/>
  <c r="C268" i="5"/>
  <c r="C269" i="5"/>
  <c r="C270" i="5"/>
  <c r="C271" i="5"/>
  <c r="C272" i="5"/>
  <c r="C273" i="5"/>
  <c r="C274" i="5"/>
  <c r="C275" i="5"/>
  <c r="C276" i="5"/>
  <c r="C277" i="5"/>
  <c r="C278" i="5"/>
  <c r="C279" i="5"/>
  <c r="C280" i="5"/>
  <c r="C281" i="5"/>
  <c r="C282" i="5"/>
  <c r="C283" i="5"/>
  <c r="C284" i="5"/>
  <c r="C285" i="5"/>
  <c r="C286" i="5"/>
  <c r="C287" i="5"/>
  <c r="C288" i="5"/>
  <c r="C289" i="5"/>
  <c r="C290" i="5"/>
  <c r="C291" i="5"/>
  <c r="C292" i="5"/>
  <c r="C293" i="5"/>
  <c r="C294" i="5"/>
  <c r="C295" i="5"/>
  <c r="C296" i="5"/>
  <c r="C297" i="5"/>
  <c r="C298" i="5"/>
  <c r="C299" i="5"/>
  <c r="C300" i="5"/>
  <c r="C301" i="5"/>
  <c r="C302" i="5"/>
  <c r="C303" i="5"/>
  <c r="C304" i="5"/>
  <c r="C305" i="5"/>
  <c r="C306" i="5"/>
  <c r="C307" i="5"/>
  <c r="C308" i="5"/>
  <c r="C309" i="5"/>
  <c r="C310" i="5"/>
  <c r="C311" i="5"/>
  <c r="C312" i="5"/>
  <c r="C313" i="5"/>
  <c r="C314" i="5"/>
  <c r="C315" i="5"/>
  <c r="C316" i="5"/>
  <c r="C317" i="5"/>
  <c r="C318" i="5"/>
  <c r="C319" i="5"/>
  <c r="C320" i="5"/>
  <c r="C321" i="5"/>
  <c r="C322" i="5"/>
  <c r="C323" i="5"/>
  <c r="C324" i="5"/>
  <c r="C325" i="5"/>
  <c r="C326" i="5"/>
  <c r="C327" i="5"/>
  <c r="C328" i="5"/>
  <c r="C329" i="5"/>
  <c r="C330" i="5"/>
  <c r="C331" i="5"/>
  <c r="C332" i="5"/>
  <c r="C333" i="5"/>
  <c r="C334" i="5"/>
  <c r="C335" i="5"/>
  <c r="C336" i="5"/>
  <c r="C337" i="5"/>
  <c r="C338" i="5"/>
  <c r="C339" i="5"/>
  <c r="C340" i="5"/>
  <c r="C341" i="5"/>
  <c r="C342" i="5"/>
  <c r="C343" i="5"/>
  <c r="C344" i="5"/>
  <c r="C345" i="5"/>
  <c r="C346" i="5"/>
  <c r="C347" i="5"/>
  <c r="C348" i="5"/>
  <c r="C349" i="5"/>
  <c r="C350" i="5"/>
  <c r="C351" i="5"/>
  <c r="C352" i="5"/>
  <c r="C353" i="5"/>
  <c r="C354" i="5"/>
  <c r="C355" i="5"/>
  <c r="C356" i="5"/>
  <c r="C357" i="5"/>
  <c r="C358" i="5"/>
  <c r="C359" i="5"/>
  <c r="C360" i="5"/>
  <c r="C361" i="5"/>
  <c r="C362" i="5"/>
  <c r="C363" i="5"/>
  <c r="C364" i="5"/>
  <c r="C365" i="5"/>
  <c r="C366" i="5"/>
  <c r="C367" i="5"/>
  <c r="C368" i="5"/>
  <c r="C369" i="5"/>
  <c r="C370" i="5"/>
  <c r="C371" i="5"/>
  <c r="C372" i="5"/>
  <c r="C373" i="5"/>
  <c r="C374" i="5"/>
  <c r="C375" i="5"/>
  <c r="C376" i="5"/>
  <c r="C377" i="5"/>
  <c r="C378" i="5"/>
  <c r="C379" i="5"/>
  <c r="C380" i="5"/>
  <c r="C381" i="5"/>
  <c r="C382" i="5"/>
  <c r="C383" i="5"/>
  <c r="C384" i="5"/>
  <c r="C385" i="5"/>
  <c r="C386" i="5"/>
  <c r="C387" i="5"/>
  <c r="C388" i="5"/>
  <c r="C389" i="5"/>
  <c r="C390" i="5"/>
  <c r="C391" i="5"/>
  <c r="C392" i="5"/>
  <c r="C393" i="5"/>
  <c r="C394" i="5"/>
  <c r="C395" i="5"/>
  <c r="C396" i="5"/>
  <c r="C397" i="5"/>
  <c r="C398" i="5"/>
  <c r="C399" i="5"/>
  <c r="C400" i="5"/>
  <c r="C401" i="5"/>
  <c r="C402" i="5"/>
  <c r="C403" i="5"/>
  <c r="C404" i="5"/>
  <c r="C405" i="5"/>
  <c r="C406" i="5"/>
  <c r="C407" i="5"/>
  <c r="C408" i="5"/>
  <c r="C409" i="5"/>
  <c r="C410" i="5"/>
  <c r="C411" i="5"/>
  <c r="C412" i="5"/>
  <c r="C413" i="5"/>
  <c r="C414" i="5"/>
  <c r="C415" i="5"/>
  <c r="C416" i="5"/>
  <c r="C417" i="5"/>
  <c r="C418" i="5"/>
  <c r="C419" i="5"/>
  <c r="C420" i="5"/>
  <c r="C421" i="5"/>
  <c r="C422" i="5"/>
  <c r="C423" i="5"/>
  <c r="C424" i="5"/>
  <c r="C425" i="5"/>
  <c r="C426" i="5"/>
  <c r="C427" i="5"/>
  <c r="C428" i="5"/>
  <c r="C429" i="5"/>
  <c r="C430" i="5"/>
  <c r="C431" i="5"/>
  <c r="C432" i="5"/>
  <c r="C433" i="5"/>
  <c r="C434" i="5"/>
  <c r="C435" i="5"/>
  <c r="C436" i="5"/>
  <c r="C437" i="5"/>
  <c r="C438" i="5"/>
  <c r="C439" i="5"/>
  <c r="C440" i="5"/>
  <c r="C441" i="5"/>
  <c r="C442" i="5"/>
  <c r="C443" i="5"/>
  <c r="C444" i="5"/>
  <c r="C445" i="5"/>
  <c r="C446" i="5"/>
  <c r="C447" i="5"/>
  <c r="C448" i="5"/>
  <c r="C449" i="5"/>
  <c r="C450" i="5"/>
  <c r="C451" i="5"/>
  <c r="C452" i="5"/>
  <c r="C453" i="5"/>
  <c r="C454" i="5"/>
  <c r="C455" i="5"/>
  <c r="C456" i="5"/>
  <c r="C457" i="5"/>
  <c r="C458" i="5"/>
  <c r="C459" i="5"/>
  <c r="C460" i="5"/>
  <c r="C461" i="5"/>
  <c r="C462" i="5"/>
  <c r="C463" i="5"/>
  <c r="C464" i="5"/>
  <c r="C465" i="5"/>
  <c r="C466" i="5"/>
  <c r="C467" i="5"/>
  <c r="C468" i="5"/>
  <c r="C469" i="5"/>
  <c r="C470" i="5"/>
  <c r="C471" i="5"/>
  <c r="C472" i="5"/>
  <c r="C473" i="5"/>
  <c r="C474" i="5"/>
  <c r="C475" i="5"/>
  <c r="C476" i="5"/>
  <c r="C477" i="5"/>
  <c r="C478" i="5"/>
  <c r="C479" i="5"/>
  <c r="C480" i="5"/>
  <c r="C481" i="5"/>
  <c r="C482" i="5"/>
  <c r="C483" i="5"/>
  <c r="C484" i="5"/>
  <c r="C485" i="5"/>
  <c r="C486" i="5"/>
  <c r="C487" i="5"/>
  <c r="C488" i="5"/>
  <c r="C489" i="5"/>
  <c r="C490" i="5"/>
  <c r="C491" i="5"/>
  <c r="C492" i="5"/>
  <c r="C493" i="5"/>
  <c r="C494" i="5"/>
  <c r="C495" i="5"/>
  <c r="C496" i="5"/>
  <c r="C497" i="5"/>
  <c r="C498" i="5"/>
  <c r="C499" i="5"/>
  <c r="C500" i="5"/>
  <c r="C501" i="5"/>
  <c r="C502" i="5"/>
  <c r="C503" i="5"/>
  <c r="C504" i="5"/>
  <c r="C505" i="5"/>
  <c r="C506" i="5"/>
  <c r="C507" i="5"/>
  <c r="C508" i="5"/>
  <c r="C509" i="5"/>
  <c r="C510" i="5"/>
  <c r="C511" i="5"/>
  <c r="C512" i="5"/>
  <c r="C513" i="5"/>
  <c r="C514" i="5"/>
  <c r="C515" i="5"/>
  <c r="C516" i="5"/>
  <c r="C517" i="5"/>
  <c r="C518" i="5"/>
  <c r="C519" i="5"/>
  <c r="C520" i="5"/>
  <c r="C521" i="5"/>
  <c r="C522" i="5"/>
  <c r="C523" i="5"/>
  <c r="C524" i="5"/>
  <c r="C525" i="5"/>
  <c r="C526" i="5"/>
  <c r="C527" i="5"/>
  <c r="C528" i="5"/>
  <c r="C529" i="5"/>
  <c r="C530" i="5"/>
  <c r="C531" i="5"/>
  <c r="C532" i="5"/>
  <c r="C533" i="5"/>
  <c r="C534" i="5"/>
  <c r="C535" i="5"/>
  <c r="C536" i="5"/>
  <c r="C537" i="5"/>
  <c r="C538" i="5"/>
  <c r="C539" i="5"/>
  <c r="C540" i="5"/>
  <c r="C541" i="5"/>
  <c r="C542" i="5"/>
  <c r="C543" i="5"/>
  <c r="C544" i="5"/>
  <c r="C545" i="5"/>
  <c r="C546" i="5"/>
  <c r="C547" i="5"/>
  <c r="C548" i="5"/>
  <c r="C549" i="5"/>
  <c r="C550" i="5"/>
  <c r="C551" i="5"/>
  <c r="C552" i="5"/>
  <c r="C553" i="5"/>
  <c r="C554" i="5"/>
  <c r="C555" i="5"/>
  <c r="C556" i="5"/>
  <c r="C557" i="5"/>
  <c r="C558" i="5"/>
  <c r="C559" i="5"/>
  <c r="C560" i="5"/>
  <c r="C561" i="5"/>
  <c r="C562" i="5"/>
  <c r="C563" i="5"/>
  <c r="C564" i="5"/>
  <c r="C565" i="5"/>
  <c r="C566" i="5"/>
  <c r="C567" i="5"/>
  <c r="C568" i="5"/>
  <c r="C569" i="5"/>
  <c r="C570" i="5"/>
  <c r="C571" i="5"/>
  <c r="C572" i="5"/>
  <c r="C573" i="5"/>
  <c r="C574" i="5"/>
  <c r="C575" i="5"/>
  <c r="C576" i="5"/>
  <c r="C577" i="5"/>
  <c r="C578" i="5"/>
  <c r="C579" i="5"/>
  <c r="C580" i="5"/>
  <c r="C581" i="5"/>
  <c r="C582" i="5"/>
  <c r="C583" i="5"/>
  <c r="C584" i="5"/>
  <c r="C585" i="5"/>
  <c r="C586" i="5"/>
  <c r="C587" i="5"/>
  <c r="C588" i="5"/>
  <c r="C589" i="5"/>
  <c r="C590" i="5"/>
  <c r="C591" i="5"/>
  <c r="C592" i="5"/>
  <c r="C593" i="5"/>
  <c r="C594" i="5"/>
  <c r="C595" i="5"/>
  <c r="C596" i="5"/>
  <c r="C597" i="5"/>
  <c r="C598" i="5"/>
  <c r="C599" i="5"/>
  <c r="C600" i="5"/>
  <c r="C601" i="5"/>
  <c r="C602" i="5"/>
  <c r="C603" i="5"/>
  <c r="C604" i="5"/>
  <c r="C605" i="5"/>
  <c r="C606" i="5"/>
  <c r="C607" i="5"/>
  <c r="C608" i="5"/>
  <c r="C609" i="5"/>
  <c r="C2" i="5"/>
  <c r="G2" i="5"/>
  <c r="L2" i="5" s="1"/>
  <c r="G3" i="5"/>
  <c r="L3" i="5" s="1"/>
  <c r="G4" i="5"/>
  <c r="L4" i="5" s="1"/>
  <c r="G5" i="5"/>
  <c r="L5" i="5" s="1"/>
  <c r="G6" i="5"/>
  <c r="L6" i="5" s="1"/>
  <c r="G7" i="5"/>
  <c r="L7" i="5" s="1"/>
  <c r="G8" i="5"/>
  <c r="L8" i="5" s="1"/>
  <c r="G9" i="5"/>
  <c r="L9" i="5" s="1"/>
  <c r="G10" i="5"/>
  <c r="L10" i="5" s="1"/>
  <c r="G11" i="5"/>
  <c r="L11" i="5" s="1"/>
  <c r="G12" i="5"/>
  <c r="L12" i="5" s="1"/>
  <c r="G13" i="5"/>
  <c r="L13" i="5" s="1"/>
  <c r="G14" i="5"/>
  <c r="L14" i="5" s="1"/>
  <c r="G15" i="5"/>
  <c r="L15" i="5" s="1"/>
  <c r="G16" i="5"/>
  <c r="L16" i="5" s="1"/>
  <c r="G17" i="5"/>
  <c r="L17" i="5" s="1"/>
  <c r="G18" i="5"/>
  <c r="L18" i="5" s="1"/>
  <c r="G19" i="5"/>
  <c r="L19" i="5" s="1"/>
  <c r="G20" i="5"/>
  <c r="L20" i="5" s="1"/>
  <c r="G21" i="5"/>
  <c r="L21" i="5" s="1"/>
  <c r="G22" i="5"/>
  <c r="L22" i="5" s="1"/>
  <c r="G23" i="5"/>
  <c r="L23" i="5" s="1"/>
  <c r="G24" i="5"/>
  <c r="L24" i="5" s="1"/>
  <c r="G25" i="5"/>
  <c r="L25" i="5" s="1"/>
  <c r="G26" i="5"/>
  <c r="L26" i="5" s="1"/>
  <c r="G27" i="5"/>
  <c r="L27" i="5" s="1"/>
  <c r="G28" i="5"/>
  <c r="L28" i="5" s="1"/>
  <c r="G29" i="5"/>
  <c r="L29" i="5" s="1"/>
  <c r="G30" i="5"/>
  <c r="L30" i="5" s="1"/>
  <c r="G31" i="5"/>
  <c r="L31" i="5" s="1"/>
  <c r="G32" i="5"/>
  <c r="L32" i="5" s="1"/>
  <c r="G33" i="5"/>
  <c r="L33" i="5" s="1"/>
  <c r="G34" i="5"/>
  <c r="L34" i="5" s="1"/>
  <c r="G35" i="5"/>
  <c r="L35" i="5" s="1"/>
  <c r="G36" i="5"/>
  <c r="L36" i="5" s="1"/>
  <c r="G37" i="5"/>
  <c r="L37" i="5" s="1"/>
  <c r="G38" i="5"/>
  <c r="L38" i="5" s="1"/>
  <c r="G39" i="5"/>
  <c r="L39" i="5" s="1"/>
  <c r="G40" i="5"/>
  <c r="L40" i="5" s="1"/>
  <c r="G41" i="5"/>
  <c r="L41" i="5" s="1"/>
  <c r="G42" i="5"/>
  <c r="L42" i="5" s="1"/>
  <c r="G43" i="5"/>
  <c r="L43" i="5" s="1"/>
  <c r="G44" i="5"/>
  <c r="L44" i="5" s="1"/>
  <c r="G45" i="5"/>
  <c r="L45" i="5" s="1"/>
  <c r="G46" i="5"/>
  <c r="L46" i="5" s="1"/>
  <c r="G47" i="5"/>
  <c r="L47" i="5" s="1"/>
  <c r="G48" i="5"/>
  <c r="L48" i="5" s="1"/>
  <c r="G49" i="5"/>
  <c r="L49" i="5" s="1"/>
  <c r="G50" i="5"/>
  <c r="L50" i="5" s="1"/>
  <c r="G51" i="5"/>
  <c r="L51" i="5" s="1"/>
  <c r="G52" i="5"/>
  <c r="L52" i="5" s="1"/>
  <c r="G53" i="5"/>
  <c r="L53" i="5" s="1"/>
  <c r="G54" i="5"/>
  <c r="L54" i="5" s="1"/>
  <c r="G55" i="5"/>
  <c r="L55" i="5" s="1"/>
  <c r="G56" i="5"/>
  <c r="L56" i="5" s="1"/>
  <c r="G57" i="5"/>
  <c r="L57" i="5" s="1"/>
  <c r="G58" i="5"/>
  <c r="L58" i="5" s="1"/>
  <c r="G59" i="5"/>
  <c r="L59" i="5" s="1"/>
  <c r="G60" i="5"/>
  <c r="L60" i="5" s="1"/>
  <c r="G61" i="5"/>
  <c r="L61" i="5" s="1"/>
  <c r="G62" i="5"/>
  <c r="L62" i="5" s="1"/>
  <c r="G63" i="5"/>
  <c r="L63" i="5" s="1"/>
  <c r="G64" i="5"/>
  <c r="L64" i="5" s="1"/>
  <c r="G65" i="5"/>
  <c r="L65" i="5" s="1"/>
  <c r="G66" i="5"/>
  <c r="L66" i="5" s="1"/>
  <c r="G67" i="5"/>
  <c r="L67" i="5" s="1"/>
  <c r="G68" i="5"/>
  <c r="L68" i="5" s="1"/>
  <c r="G69" i="5"/>
  <c r="L69" i="5" s="1"/>
  <c r="G70" i="5"/>
  <c r="L70" i="5" s="1"/>
  <c r="G71" i="5"/>
  <c r="L71" i="5" s="1"/>
  <c r="G72" i="5"/>
  <c r="L72" i="5" s="1"/>
  <c r="G73" i="5"/>
  <c r="L73" i="5" s="1"/>
  <c r="G74" i="5"/>
  <c r="L74" i="5" s="1"/>
  <c r="G75" i="5"/>
  <c r="L75" i="5" s="1"/>
  <c r="G76" i="5"/>
  <c r="L76" i="5" s="1"/>
  <c r="G77" i="5"/>
  <c r="L77" i="5" s="1"/>
  <c r="G78" i="5"/>
  <c r="L78" i="5" s="1"/>
  <c r="G79" i="5"/>
  <c r="L79" i="5" s="1"/>
  <c r="G80" i="5"/>
  <c r="L80" i="5" s="1"/>
  <c r="G81" i="5"/>
  <c r="L81" i="5" s="1"/>
  <c r="G82" i="5"/>
  <c r="L82" i="5" s="1"/>
  <c r="G83" i="5"/>
  <c r="L83" i="5" s="1"/>
  <c r="G84" i="5"/>
  <c r="L84" i="5" s="1"/>
  <c r="G85" i="5"/>
  <c r="L85" i="5" s="1"/>
  <c r="G86" i="5"/>
  <c r="L86" i="5" s="1"/>
  <c r="G87" i="5"/>
  <c r="L87" i="5" s="1"/>
  <c r="G88" i="5"/>
  <c r="L88" i="5" s="1"/>
  <c r="G89" i="5"/>
  <c r="L89" i="5" s="1"/>
  <c r="G90" i="5"/>
  <c r="L90" i="5" s="1"/>
  <c r="G91" i="5"/>
  <c r="L91" i="5" s="1"/>
  <c r="G92" i="5"/>
  <c r="L92" i="5" s="1"/>
  <c r="G93" i="5"/>
  <c r="L93" i="5" s="1"/>
  <c r="G94" i="5"/>
  <c r="L94" i="5" s="1"/>
  <c r="G95" i="5"/>
  <c r="L95" i="5" s="1"/>
  <c r="G96" i="5"/>
  <c r="L96" i="5" s="1"/>
  <c r="G97" i="5"/>
  <c r="L97" i="5" s="1"/>
  <c r="G98" i="5"/>
  <c r="L98" i="5" s="1"/>
  <c r="G99" i="5"/>
  <c r="L99" i="5" s="1"/>
  <c r="G100" i="5"/>
  <c r="L100" i="5" s="1"/>
  <c r="G101" i="5"/>
  <c r="L101" i="5" s="1"/>
  <c r="G102" i="5"/>
  <c r="L102" i="5" s="1"/>
  <c r="G103" i="5"/>
  <c r="L103" i="5" s="1"/>
  <c r="G104" i="5"/>
  <c r="L104" i="5" s="1"/>
  <c r="G105" i="5"/>
  <c r="L105" i="5" s="1"/>
  <c r="G106" i="5"/>
  <c r="L106" i="5" s="1"/>
  <c r="G107" i="5"/>
  <c r="L107" i="5" s="1"/>
  <c r="G108" i="5"/>
  <c r="L108" i="5" s="1"/>
  <c r="G109" i="5"/>
  <c r="L109" i="5" s="1"/>
  <c r="G110" i="5"/>
  <c r="L110" i="5" s="1"/>
  <c r="G111" i="5"/>
  <c r="L111" i="5" s="1"/>
  <c r="G112" i="5"/>
  <c r="L112" i="5" s="1"/>
  <c r="G113" i="5"/>
  <c r="L113" i="5" s="1"/>
  <c r="G114" i="5"/>
  <c r="L114" i="5" s="1"/>
  <c r="G115" i="5"/>
  <c r="L115" i="5" s="1"/>
  <c r="G116" i="5"/>
  <c r="L116" i="5" s="1"/>
  <c r="G117" i="5"/>
  <c r="L117" i="5" s="1"/>
  <c r="G118" i="5"/>
  <c r="L118" i="5" s="1"/>
  <c r="G119" i="5"/>
  <c r="L119" i="5" s="1"/>
  <c r="G120" i="5"/>
  <c r="L120" i="5" s="1"/>
  <c r="G121" i="5"/>
  <c r="L121" i="5" s="1"/>
  <c r="G122" i="5"/>
  <c r="L122" i="5" s="1"/>
  <c r="G123" i="5"/>
  <c r="L123" i="5" s="1"/>
  <c r="G124" i="5"/>
  <c r="L124" i="5" s="1"/>
  <c r="G125" i="5"/>
  <c r="L125" i="5" s="1"/>
  <c r="G126" i="5"/>
  <c r="L126" i="5" s="1"/>
  <c r="G127" i="5"/>
  <c r="L127" i="5" s="1"/>
  <c r="G128" i="5"/>
  <c r="L128" i="5" s="1"/>
  <c r="G129" i="5"/>
  <c r="L129" i="5" s="1"/>
  <c r="G130" i="5"/>
  <c r="L130" i="5" s="1"/>
  <c r="G131" i="5"/>
  <c r="L131" i="5" s="1"/>
  <c r="G132" i="5"/>
  <c r="L132" i="5" s="1"/>
  <c r="G133" i="5"/>
  <c r="L133" i="5" s="1"/>
  <c r="G134" i="5"/>
  <c r="L134" i="5" s="1"/>
  <c r="G135" i="5"/>
  <c r="L135" i="5" s="1"/>
  <c r="G136" i="5"/>
  <c r="L136" i="5" s="1"/>
  <c r="G137" i="5"/>
  <c r="L137" i="5" s="1"/>
  <c r="G138" i="5"/>
  <c r="L138" i="5" s="1"/>
  <c r="G139" i="5"/>
  <c r="L139" i="5" s="1"/>
  <c r="G140" i="5"/>
  <c r="L140" i="5" s="1"/>
  <c r="G141" i="5"/>
  <c r="L141" i="5" s="1"/>
  <c r="G142" i="5"/>
  <c r="L142" i="5" s="1"/>
  <c r="G143" i="5"/>
  <c r="L143" i="5" s="1"/>
  <c r="G144" i="5"/>
  <c r="L144" i="5" s="1"/>
  <c r="G145" i="5"/>
  <c r="L145" i="5" s="1"/>
  <c r="G146" i="5"/>
  <c r="L146" i="5" s="1"/>
  <c r="G147" i="5"/>
  <c r="L147" i="5" s="1"/>
  <c r="G148" i="5"/>
  <c r="L148" i="5" s="1"/>
  <c r="G149" i="5"/>
  <c r="L149" i="5" s="1"/>
  <c r="G150" i="5"/>
  <c r="L150" i="5" s="1"/>
  <c r="G151" i="5"/>
  <c r="L151" i="5" s="1"/>
  <c r="G152" i="5"/>
  <c r="L152" i="5" s="1"/>
  <c r="G153" i="5"/>
  <c r="L153" i="5" s="1"/>
  <c r="G154" i="5"/>
  <c r="L154" i="5" s="1"/>
  <c r="G155" i="5"/>
  <c r="L155" i="5" s="1"/>
  <c r="G156" i="5"/>
  <c r="L156" i="5" s="1"/>
  <c r="G157" i="5"/>
  <c r="L157" i="5" s="1"/>
  <c r="G158" i="5"/>
  <c r="L158" i="5" s="1"/>
  <c r="G159" i="5"/>
  <c r="L159" i="5" s="1"/>
  <c r="G160" i="5"/>
  <c r="L160" i="5" s="1"/>
  <c r="G161" i="5"/>
  <c r="L161" i="5" s="1"/>
  <c r="G162" i="5"/>
  <c r="L162" i="5" s="1"/>
  <c r="G163" i="5"/>
  <c r="L163" i="5" s="1"/>
  <c r="G164" i="5"/>
  <c r="L164" i="5" s="1"/>
  <c r="G165" i="5"/>
  <c r="L165" i="5" s="1"/>
  <c r="G166" i="5"/>
  <c r="L166" i="5" s="1"/>
  <c r="G167" i="5"/>
  <c r="L167" i="5" s="1"/>
  <c r="G168" i="5"/>
  <c r="L168" i="5" s="1"/>
  <c r="G169" i="5"/>
  <c r="L169" i="5" s="1"/>
  <c r="G170" i="5"/>
  <c r="L170" i="5" s="1"/>
  <c r="G171" i="5"/>
  <c r="L171" i="5" s="1"/>
  <c r="G172" i="5"/>
  <c r="L172" i="5" s="1"/>
  <c r="G173" i="5"/>
  <c r="L173" i="5" s="1"/>
  <c r="G174" i="5"/>
  <c r="L174" i="5" s="1"/>
  <c r="G175" i="5"/>
  <c r="L175" i="5" s="1"/>
  <c r="G176" i="5"/>
  <c r="L176" i="5" s="1"/>
  <c r="G177" i="5"/>
  <c r="L177" i="5" s="1"/>
  <c r="G178" i="5"/>
  <c r="L178" i="5" s="1"/>
  <c r="G179" i="5"/>
  <c r="L179" i="5" s="1"/>
  <c r="G180" i="5"/>
  <c r="L180" i="5" s="1"/>
  <c r="G181" i="5"/>
  <c r="L181" i="5" s="1"/>
  <c r="G182" i="5"/>
  <c r="L182" i="5" s="1"/>
  <c r="G183" i="5"/>
  <c r="L183" i="5" s="1"/>
  <c r="G184" i="5"/>
  <c r="L184" i="5" s="1"/>
  <c r="G185" i="5"/>
  <c r="L185" i="5" s="1"/>
  <c r="G186" i="5"/>
  <c r="L186" i="5" s="1"/>
  <c r="G187" i="5"/>
  <c r="L187" i="5" s="1"/>
  <c r="G188" i="5"/>
  <c r="L188" i="5" s="1"/>
  <c r="G189" i="5"/>
  <c r="L189" i="5" s="1"/>
  <c r="G190" i="5"/>
  <c r="L190" i="5" s="1"/>
  <c r="G191" i="5"/>
  <c r="L191" i="5" s="1"/>
  <c r="G192" i="5"/>
  <c r="L192" i="5" s="1"/>
  <c r="G193" i="5"/>
  <c r="L193" i="5" s="1"/>
  <c r="G194" i="5"/>
  <c r="L194" i="5" s="1"/>
  <c r="G195" i="5"/>
  <c r="L195" i="5" s="1"/>
  <c r="G196" i="5"/>
  <c r="L196" i="5" s="1"/>
  <c r="G197" i="5"/>
  <c r="L197" i="5" s="1"/>
  <c r="G198" i="5"/>
  <c r="L198" i="5" s="1"/>
  <c r="G199" i="5"/>
  <c r="L199" i="5" s="1"/>
  <c r="G200" i="5"/>
  <c r="L200" i="5" s="1"/>
  <c r="G201" i="5"/>
  <c r="L201" i="5" s="1"/>
  <c r="G202" i="5"/>
  <c r="L202" i="5" s="1"/>
  <c r="G203" i="5"/>
  <c r="L203" i="5" s="1"/>
  <c r="G204" i="5"/>
  <c r="L204" i="5" s="1"/>
  <c r="G205" i="5"/>
  <c r="L205" i="5" s="1"/>
  <c r="G206" i="5"/>
  <c r="L206" i="5" s="1"/>
  <c r="G207" i="5"/>
  <c r="L207" i="5" s="1"/>
  <c r="G208" i="5"/>
  <c r="L208" i="5" s="1"/>
  <c r="G209" i="5"/>
  <c r="L209" i="5" s="1"/>
  <c r="G210" i="5"/>
  <c r="L210" i="5" s="1"/>
  <c r="G211" i="5"/>
  <c r="L211" i="5" s="1"/>
  <c r="G212" i="5"/>
  <c r="L212" i="5" s="1"/>
  <c r="G213" i="5"/>
  <c r="L213" i="5" s="1"/>
  <c r="G214" i="5"/>
  <c r="L214" i="5" s="1"/>
  <c r="G215" i="5"/>
  <c r="L215" i="5" s="1"/>
  <c r="G216" i="5"/>
  <c r="L216" i="5" s="1"/>
  <c r="G217" i="5"/>
  <c r="L217" i="5" s="1"/>
  <c r="G218" i="5"/>
  <c r="L218" i="5" s="1"/>
  <c r="G219" i="5"/>
  <c r="L219" i="5" s="1"/>
  <c r="G220" i="5"/>
  <c r="L220" i="5" s="1"/>
  <c r="G221" i="5"/>
  <c r="L221" i="5" s="1"/>
  <c r="G222" i="5"/>
  <c r="L222" i="5" s="1"/>
  <c r="G223" i="5"/>
  <c r="L223" i="5" s="1"/>
  <c r="G224" i="5"/>
  <c r="L224" i="5" s="1"/>
  <c r="G225" i="5"/>
  <c r="L225" i="5" s="1"/>
  <c r="G226" i="5"/>
  <c r="L226" i="5" s="1"/>
  <c r="G227" i="5"/>
  <c r="L227" i="5" s="1"/>
  <c r="G228" i="5"/>
  <c r="L228" i="5" s="1"/>
  <c r="G229" i="5"/>
  <c r="L229" i="5" s="1"/>
  <c r="G230" i="5"/>
  <c r="L230" i="5" s="1"/>
  <c r="G231" i="5"/>
  <c r="L231" i="5" s="1"/>
  <c r="G232" i="5"/>
  <c r="L232" i="5" s="1"/>
  <c r="G233" i="5"/>
  <c r="L233" i="5" s="1"/>
  <c r="G234" i="5"/>
  <c r="L234" i="5" s="1"/>
  <c r="G235" i="5"/>
  <c r="L235" i="5" s="1"/>
  <c r="G236" i="5"/>
  <c r="L236" i="5" s="1"/>
  <c r="G237" i="5"/>
  <c r="L237" i="5" s="1"/>
  <c r="G238" i="5"/>
  <c r="L238" i="5" s="1"/>
  <c r="G239" i="5"/>
  <c r="L239" i="5" s="1"/>
  <c r="G240" i="5"/>
  <c r="L240" i="5" s="1"/>
  <c r="G241" i="5"/>
  <c r="L241" i="5" s="1"/>
  <c r="G242" i="5"/>
  <c r="L242" i="5" s="1"/>
  <c r="G243" i="5"/>
  <c r="L243" i="5" s="1"/>
  <c r="G244" i="5"/>
  <c r="L244" i="5" s="1"/>
  <c r="G245" i="5"/>
  <c r="L245" i="5" s="1"/>
  <c r="G246" i="5"/>
  <c r="L246" i="5" s="1"/>
  <c r="G247" i="5"/>
  <c r="L247" i="5" s="1"/>
  <c r="G248" i="5"/>
  <c r="L248" i="5" s="1"/>
  <c r="G249" i="5"/>
  <c r="L249" i="5" s="1"/>
  <c r="G250" i="5"/>
  <c r="L250" i="5" s="1"/>
  <c r="G251" i="5"/>
  <c r="L251" i="5" s="1"/>
  <c r="G252" i="5"/>
  <c r="L252" i="5" s="1"/>
  <c r="G253" i="5"/>
  <c r="L253" i="5" s="1"/>
  <c r="G254" i="5"/>
  <c r="L254" i="5" s="1"/>
  <c r="G255" i="5"/>
  <c r="L255" i="5" s="1"/>
  <c r="G256" i="5"/>
  <c r="L256" i="5" s="1"/>
  <c r="G257" i="5"/>
  <c r="L257" i="5" s="1"/>
  <c r="G258" i="5"/>
  <c r="L258" i="5" s="1"/>
  <c r="G259" i="5"/>
  <c r="L259" i="5" s="1"/>
  <c r="G260" i="5"/>
  <c r="L260" i="5" s="1"/>
  <c r="G261" i="5"/>
  <c r="L261" i="5" s="1"/>
  <c r="G262" i="5"/>
  <c r="L262" i="5" s="1"/>
  <c r="G263" i="5"/>
  <c r="L263" i="5" s="1"/>
  <c r="G264" i="5"/>
  <c r="L264" i="5" s="1"/>
  <c r="G265" i="5"/>
  <c r="L265" i="5" s="1"/>
  <c r="G266" i="5"/>
  <c r="L266" i="5" s="1"/>
  <c r="G267" i="5"/>
  <c r="L267" i="5" s="1"/>
  <c r="G268" i="5"/>
  <c r="L268" i="5" s="1"/>
  <c r="G269" i="5"/>
  <c r="L269" i="5" s="1"/>
  <c r="G270" i="5"/>
  <c r="L270" i="5" s="1"/>
  <c r="G271" i="5"/>
  <c r="L271" i="5" s="1"/>
  <c r="G272" i="5"/>
  <c r="L272" i="5" s="1"/>
  <c r="G273" i="5"/>
  <c r="L273" i="5" s="1"/>
  <c r="G274" i="5"/>
  <c r="L274" i="5" s="1"/>
  <c r="G275" i="5"/>
  <c r="L275" i="5" s="1"/>
  <c r="G276" i="5"/>
  <c r="L276" i="5" s="1"/>
  <c r="G277" i="5"/>
  <c r="L277" i="5"/>
  <c r="G278" i="5"/>
  <c r="L278" i="5" s="1"/>
  <c r="G279" i="5"/>
  <c r="L279" i="5" s="1"/>
  <c r="G280" i="5"/>
  <c r="L280" i="5" s="1"/>
  <c r="G281" i="5"/>
  <c r="L281" i="5" s="1"/>
  <c r="G282" i="5"/>
  <c r="L282" i="5" s="1"/>
  <c r="G283" i="5"/>
  <c r="L283" i="5" s="1"/>
  <c r="G284" i="5"/>
  <c r="L284" i="5" s="1"/>
  <c r="G285" i="5"/>
  <c r="L285" i="5" s="1"/>
  <c r="G286" i="5"/>
  <c r="L286" i="5" s="1"/>
  <c r="G287" i="5"/>
  <c r="L287" i="5" s="1"/>
  <c r="G288" i="5"/>
  <c r="L288" i="5" s="1"/>
  <c r="G289" i="5"/>
  <c r="L289" i="5" s="1"/>
  <c r="G290" i="5"/>
  <c r="L290" i="5" s="1"/>
  <c r="G291" i="5"/>
  <c r="L291" i="5" s="1"/>
  <c r="G292" i="5"/>
  <c r="L292" i="5" s="1"/>
  <c r="G293" i="5"/>
  <c r="L293" i="5" s="1"/>
  <c r="G294" i="5"/>
  <c r="L294" i="5" s="1"/>
  <c r="G295" i="5"/>
  <c r="L295" i="5" s="1"/>
  <c r="G296" i="5"/>
  <c r="L296" i="5" s="1"/>
  <c r="G297" i="5"/>
  <c r="L297" i="5" s="1"/>
  <c r="G298" i="5"/>
  <c r="L298" i="5" s="1"/>
  <c r="G299" i="5"/>
  <c r="L299" i="5" s="1"/>
  <c r="G300" i="5"/>
  <c r="L300" i="5" s="1"/>
  <c r="G301" i="5"/>
  <c r="L301" i="5" s="1"/>
  <c r="G302" i="5"/>
  <c r="L302" i="5" s="1"/>
  <c r="G303" i="5"/>
  <c r="L303" i="5" s="1"/>
  <c r="G304" i="5"/>
  <c r="L304" i="5" s="1"/>
  <c r="G305" i="5"/>
  <c r="L305" i="5" s="1"/>
  <c r="G306" i="5"/>
  <c r="L306" i="5" s="1"/>
  <c r="G307" i="5"/>
  <c r="L307" i="5" s="1"/>
  <c r="G308" i="5"/>
  <c r="L308" i="5" s="1"/>
  <c r="G309" i="5"/>
  <c r="L309" i="5" s="1"/>
  <c r="G310" i="5"/>
  <c r="L310" i="5" s="1"/>
  <c r="G311" i="5"/>
  <c r="L311" i="5" s="1"/>
  <c r="G312" i="5"/>
  <c r="L312" i="5" s="1"/>
  <c r="G313" i="5"/>
  <c r="L313" i="5" s="1"/>
  <c r="G314" i="5"/>
  <c r="L314" i="5" s="1"/>
  <c r="G315" i="5"/>
  <c r="L315" i="5" s="1"/>
  <c r="G316" i="5"/>
  <c r="L316" i="5" s="1"/>
  <c r="G317" i="5"/>
  <c r="L317" i="5" s="1"/>
  <c r="G318" i="5"/>
  <c r="L318" i="5" s="1"/>
  <c r="G319" i="5"/>
  <c r="L319" i="5" s="1"/>
  <c r="G320" i="5"/>
  <c r="L320" i="5" s="1"/>
  <c r="G321" i="5"/>
  <c r="L321" i="5" s="1"/>
  <c r="G322" i="5"/>
  <c r="L322" i="5" s="1"/>
  <c r="G323" i="5"/>
  <c r="L323" i="5" s="1"/>
  <c r="G324" i="5"/>
  <c r="L324" i="5" s="1"/>
  <c r="G325" i="5"/>
  <c r="L325" i="5" s="1"/>
  <c r="G326" i="5"/>
  <c r="L326" i="5" s="1"/>
  <c r="G327" i="5"/>
  <c r="L327" i="5" s="1"/>
  <c r="G328" i="5"/>
  <c r="L328" i="5" s="1"/>
  <c r="G329" i="5"/>
  <c r="L329" i="5" s="1"/>
  <c r="G330" i="5"/>
  <c r="L330" i="5" s="1"/>
  <c r="G331" i="5"/>
  <c r="L331" i="5" s="1"/>
  <c r="G332" i="5"/>
  <c r="L332" i="5" s="1"/>
  <c r="G333" i="5"/>
  <c r="L333" i="5" s="1"/>
  <c r="G334" i="5"/>
  <c r="L334" i="5" s="1"/>
  <c r="G335" i="5"/>
  <c r="L335" i="5" s="1"/>
  <c r="G336" i="5"/>
  <c r="L336" i="5" s="1"/>
  <c r="G337" i="5"/>
  <c r="L337" i="5" s="1"/>
  <c r="G338" i="5"/>
  <c r="L338" i="5" s="1"/>
  <c r="G339" i="5"/>
  <c r="L339" i="5" s="1"/>
  <c r="G340" i="5"/>
  <c r="L340" i="5" s="1"/>
  <c r="G341" i="5"/>
  <c r="L341" i="5" s="1"/>
  <c r="G342" i="5"/>
  <c r="L342" i="5" s="1"/>
  <c r="G343" i="5"/>
  <c r="L343" i="5" s="1"/>
  <c r="G344" i="5"/>
  <c r="L344" i="5" s="1"/>
  <c r="G345" i="5"/>
  <c r="L345" i="5" s="1"/>
  <c r="G346" i="5"/>
  <c r="L346" i="5" s="1"/>
  <c r="G347" i="5"/>
  <c r="L347" i="5" s="1"/>
  <c r="G348" i="5"/>
  <c r="L348" i="5" s="1"/>
  <c r="G349" i="5"/>
  <c r="L349" i="5" s="1"/>
  <c r="G350" i="5"/>
  <c r="L350" i="5" s="1"/>
  <c r="G351" i="5"/>
  <c r="L351" i="5" s="1"/>
  <c r="G352" i="5"/>
  <c r="L352" i="5" s="1"/>
  <c r="G353" i="5"/>
  <c r="L353" i="5" s="1"/>
  <c r="G354" i="5"/>
  <c r="L354" i="5" s="1"/>
  <c r="G355" i="5"/>
  <c r="L355" i="5" s="1"/>
  <c r="G356" i="5"/>
  <c r="L356" i="5" s="1"/>
  <c r="G357" i="5"/>
  <c r="L357" i="5" s="1"/>
  <c r="G358" i="5"/>
  <c r="L358" i="5" s="1"/>
  <c r="G359" i="5"/>
  <c r="L359" i="5" s="1"/>
  <c r="G360" i="5"/>
  <c r="L360" i="5" s="1"/>
  <c r="G361" i="5"/>
  <c r="L361" i="5" s="1"/>
  <c r="G362" i="5"/>
  <c r="L362" i="5" s="1"/>
  <c r="G363" i="5"/>
  <c r="L363" i="5" s="1"/>
  <c r="G364" i="5"/>
  <c r="L364" i="5" s="1"/>
  <c r="G365" i="5"/>
  <c r="L365" i="5" s="1"/>
  <c r="G366" i="5"/>
  <c r="L366" i="5" s="1"/>
  <c r="G367" i="5"/>
  <c r="L367" i="5" s="1"/>
  <c r="G368" i="5"/>
  <c r="L368" i="5" s="1"/>
  <c r="G369" i="5"/>
  <c r="L369" i="5" s="1"/>
  <c r="G370" i="5"/>
  <c r="L370" i="5" s="1"/>
  <c r="G371" i="5"/>
  <c r="L371" i="5" s="1"/>
  <c r="G372" i="5"/>
  <c r="L372" i="5" s="1"/>
  <c r="G373" i="5"/>
  <c r="L373" i="5" s="1"/>
  <c r="G374" i="5"/>
  <c r="L374" i="5" s="1"/>
  <c r="G375" i="5"/>
  <c r="L375" i="5" s="1"/>
  <c r="G376" i="5"/>
  <c r="L376" i="5" s="1"/>
  <c r="G377" i="5"/>
  <c r="L377" i="5" s="1"/>
  <c r="G378" i="5"/>
  <c r="L378" i="5" s="1"/>
  <c r="G379" i="5"/>
  <c r="L379" i="5" s="1"/>
  <c r="G380" i="5"/>
  <c r="L380" i="5" s="1"/>
  <c r="G381" i="5"/>
  <c r="L381" i="5" s="1"/>
  <c r="G382" i="5"/>
  <c r="L382" i="5" s="1"/>
  <c r="G383" i="5"/>
  <c r="L383" i="5" s="1"/>
  <c r="G384" i="5"/>
  <c r="L384" i="5" s="1"/>
  <c r="G385" i="5"/>
  <c r="L385" i="5" s="1"/>
  <c r="G386" i="5"/>
  <c r="L386" i="5" s="1"/>
  <c r="G387" i="5"/>
  <c r="L387" i="5" s="1"/>
  <c r="G388" i="5"/>
  <c r="L388" i="5" s="1"/>
  <c r="G389" i="5"/>
  <c r="L389" i="5" s="1"/>
  <c r="G390" i="5"/>
  <c r="L390" i="5" s="1"/>
  <c r="G391" i="5"/>
  <c r="L391" i="5" s="1"/>
  <c r="G392" i="5"/>
  <c r="L392" i="5" s="1"/>
  <c r="G393" i="5"/>
  <c r="L393" i="5" s="1"/>
  <c r="G394" i="5"/>
  <c r="L394" i="5" s="1"/>
  <c r="G395" i="5"/>
  <c r="L395" i="5" s="1"/>
  <c r="G396" i="5"/>
  <c r="L396" i="5" s="1"/>
  <c r="G397" i="5"/>
  <c r="L397" i="5" s="1"/>
  <c r="G398" i="5"/>
  <c r="L398" i="5" s="1"/>
  <c r="G399" i="5"/>
  <c r="L399" i="5" s="1"/>
  <c r="G400" i="5"/>
  <c r="L400" i="5" s="1"/>
  <c r="G401" i="5"/>
  <c r="L401" i="5" s="1"/>
  <c r="G402" i="5"/>
  <c r="L402" i="5" s="1"/>
  <c r="G403" i="5"/>
  <c r="L403" i="5" s="1"/>
  <c r="G404" i="5"/>
  <c r="L404" i="5" s="1"/>
  <c r="G405" i="5"/>
  <c r="L405" i="5" s="1"/>
  <c r="G406" i="5"/>
  <c r="L406" i="5" s="1"/>
  <c r="G407" i="5"/>
  <c r="L407" i="5" s="1"/>
  <c r="G408" i="5"/>
  <c r="L408" i="5" s="1"/>
  <c r="G409" i="5"/>
  <c r="L409" i="5" s="1"/>
  <c r="G410" i="5"/>
  <c r="L410" i="5" s="1"/>
  <c r="G411" i="5"/>
  <c r="L411" i="5" s="1"/>
  <c r="G412" i="5"/>
  <c r="L412" i="5" s="1"/>
  <c r="G413" i="5"/>
  <c r="L413" i="5" s="1"/>
  <c r="G414" i="5"/>
  <c r="L414" i="5" s="1"/>
  <c r="G415" i="5"/>
  <c r="L415" i="5" s="1"/>
  <c r="G416" i="5"/>
  <c r="L416" i="5" s="1"/>
  <c r="G417" i="5"/>
  <c r="L417" i="5" s="1"/>
  <c r="G418" i="5"/>
  <c r="L418" i="5" s="1"/>
  <c r="G419" i="5"/>
  <c r="L419" i="5" s="1"/>
  <c r="G420" i="5"/>
  <c r="L420" i="5" s="1"/>
  <c r="G421" i="5"/>
  <c r="L421" i="5" s="1"/>
  <c r="G422" i="5"/>
  <c r="L422" i="5" s="1"/>
  <c r="G423" i="5"/>
  <c r="L423" i="5" s="1"/>
  <c r="G424" i="5"/>
  <c r="L424" i="5" s="1"/>
  <c r="G425" i="5"/>
  <c r="L425" i="5" s="1"/>
  <c r="G426" i="5"/>
  <c r="L426" i="5" s="1"/>
  <c r="G427" i="5"/>
  <c r="L427" i="5" s="1"/>
  <c r="G428" i="5"/>
  <c r="L428" i="5" s="1"/>
  <c r="G429" i="5"/>
  <c r="L429" i="5" s="1"/>
  <c r="G430" i="5"/>
  <c r="L430" i="5" s="1"/>
  <c r="G431" i="5"/>
  <c r="L431" i="5" s="1"/>
  <c r="G432" i="5"/>
  <c r="L432" i="5" s="1"/>
  <c r="G433" i="5"/>
  <c r="L433" i="5" s="1"/>
  <c r="G434" i="5"/>
  <c r="L434" i="5" s="1"/>
  <c r="G435" i="5"/>
  <c r="L435" i="5" s="1"/>
  <c r="G436" i="5"/>
  <c r="L436" i="5" s="1"/>
  <c r="G437" i="5"/>
  <c r="L437" i="5" s="1"/>
  <c r="G438" i="5"/>
  <c r="L438" i="5" s="1"/>
  <c r="G439" i="5"/>
  <c r="L439" i="5" s="1"/>
  <c r="G440" i="5"/>
  <c r="L440" i="5" s="1"/>
  <c r="G441" i="5"/>
  <c r="L441" i="5" s="1"/>
  <c r="G442" i="5"/>
  <c r="L442" i="5" s="1"/>
  <c r="G443" i="5"/>
  <c r="L443" i="5" s="1"/>
  <c r="G444" i="5"/>
  <c r="L444" i="5" s="1"/>
  <c r="G445" i="5"/>
  <c r="L445" i="5" s="1"/>
  <c r="G446" i="5"/>
  <c r="L446" i="5" s="1"/>
  <c r="G447" i="5"/>
  <c r="L447" i="5" s="1"/>
  <c r="G448" i="5"/>
  <c r="L448" i="5" s="1"/>
  <c r="G449" i="5"/>
  <c r="L449" i="5" s="1"/>
  <c r="G450" i="5"/>
  <c r="L450" i="5" s="1"/>
  <c r="G451" i="5"/>
  <c r="L451" i="5" s="1"/>
  <c r="G452" i="5"/>
  <c r="L452" i="5" s="1"/>
  <c r="G453" i="5"/>
  <c r="L453" i="5" s="1"/>
  <c r="G454" i="5"/>
  <c r="L454" i="5" s="1"/>
  <c r="G455" i="5"/>
  <c r="L455" i="5" s="1"/>
  <c r="G456" i="5"/>
  <c r="L456" i="5" s="1"/>
  <c r="G457" i="5"/>
  <c r="L457" i="5" s="1"/>
  <c r="G458" i="5"/>
  <c r="L458" i="5" s="1"/>
  <c r="G459" i="5"/>
  <c r="L459" i="5" s="1"/>
  <c r="G460" i="5"/>
  <c r="L460" i="5" s="1"/>
  <c r="G461" i="5"/>
  <c r="L461" i="5" s="1"/>
  <c r="G462" i="5"/>
  <c r="L462" i="5" s="1"/>
  <c r="G463" i="5"/>
  <c r="L463" i="5" s="1"/>
  <c r="G464" i="5"/>
  <c r="L464" i="5" s="1"/>
  <c r="G465" i="5"/>
  <c r="L465" i="5" s="1"/>
  <c r="G466" i="5"/>
  <c r="L466" i="5" s="1"/>
  <c r="G467" i="5"/>
  <c r="L467" i="5" s="1"/>
  <c r="G468" i="5"/>
  <c r="L468" i="5" s="1"/>
  <c r="G469" i="5"/>
  <c r="L469" i="5" s="1"/>
  <c r="G470" i="5"/>
  <c r="L470" i="5" s="1"/>
  <c r="G471" i="5"/>
  <c r="L471" i="5" s="1"/>
  <c r="G472" i="5"/>
  <c r="L472" i="5" s="1"/>
  <c r="G473" i="5"/>
  <c r="L473" i="5" s="1"/>
  <c r="G474" i="5"/>
  <c r="L474" i="5" s="1"/>
  <c r="G475" i="5"/>
  <c r="L475" i="5" s="1"/>
  <c r="G476" i="5"/>
  <c r="L476" i="5" s="1"/>
  <c r="G477" i="5"/>
  <c r="L477" i="5" s="1"/>
  <c r="G478" i="5"/>
  <c r="L478" i="5" s="1"/>
  <c r="G479" i="5"/>
  <c r="L479" i="5" s="1"/>
  <c r="G480" i="5"/>
  <c r="L480" i="5" s="1"/>
  <c r="G481" i="5"/>
  <c r="L481" i="5" s="1"/>
  <c r="G482" i="5"/>
  <c r="L482" i="5" s="1"/>
  <c r="G483" i="5"/>
  <c r="L483" i="5" s="1"/>
  <c r="G484" i="5"/>
  <c r="L484" i="5" s="1"/>
  <c r="G485" i="5"/>
  <c r="L485" i="5" s="1"/>
  <c r="G486" i="5"/>
  <c r="L486" i="5" s="1"/>
  <c r="G487" i="5"/>
  <c r="L487" i="5" s="1"/>
  <c r="G488" i="5"/>
  <c r="L488" i="5" s="1"/>
  <c r="G489" i="5"/>
  <c r="L489" i="5" s="1"/>
  <c r="G490" i="5"/>
  <c r="L490" i="5" s="1"/>
  <c r="G491" i="5"/>
  <c r="L491" i="5" s="1"/>
  <c r="G492" i="5"/>
  <c r="L492" i="5" s="1"/>
  <c r="G493" i="5"/>
  <c r="L493" i="5" s="1"/>
  <c r="G494" i="5"/>
  <c r="L494" i="5" s="1"/>
  <c r="G495" i="5"/>
  <c r="L495" i="5" s="1"/>
  <c r="G496" i="5"/>
  <c r="L496" i="5" s="1"/>
  <c r="G497" i="5"/>
  <c r="L497" i="5" s="1"/>
  <c r="G498" i="5"/>
  <c r="L498" i="5" s="1"/>
  <c r="G499" i="5"/>
  <c r="L499" i="5" s="1"/>
  <c r="G500" i="5"/>
  <c r="L500" i="5" s="1"/>
  <c r="G501" i="5"/>
  <c r="L501" i="5" s="1"/>
  <c r="G502" i="5"/>
  <c r="L502" i="5" s="1"/>
  <c r="G503" i="5"/>
  <c r="L503" i="5" s="1"/>
  <c r="G504" i="5"/>
  <c r="L504" i="5" s="1"/>
  <c r="G505" i="5"/>
  <c r="L505" i="5" s="1"/>
  <c r="G506" i="5"/>
  <c r="L506" i="5" s="1"/>
  <c r="G507" i="5"/>
  <c r="L507" i="5" s="1"/>
  <c r="G508" i="5"/>
  <c r="L508" i="5" s="1"/>
  <c r="G509" i="5"/>
  <c r="L509" i="5" s="1"/>
  <c r="G510" i="5"/>
  <c r="L510" i="5" s="1"/>
  <c r="G511" i="5"/>
  <c r="L511" i="5" s="1"/>
  <c r="G512" i="5"/>
  <c r="L512" i="5" s="1"/>
  <c r="G513" i="5"/>
  <c r="L513" i="5" s="1"/>
  <c r="G514" i="5"/>
  <c r="L514" i="5" s="1"/>
  <c r="G515" i="5"/>
  <c r="L515" i="5" s="1"/>
  <c r="G516" i="5"/>
  <c r="L516" i="5" s="1"/>
  <c r="G517" i="5"/>
  <c r="L517" i="5" s="1"/>
  <c r="G518" i="5"/>
  <c r="L518" i="5" s="1"/>
  <c r="G519" i="5"/>
  <c r="L519" i="5" s="1"/>
  <c r="G520" i="5"/>
  <c r="L520" i="5" s="1"/>
  <c r="G521" i="5"/>
  <c r="L521" i="5" s="1"/>
  <c r="G522" i="5"/>
  <c r="L522" i="5" s="1"/>
  <c r="G523" i="5"/>
  <c r="L523" i="5" s="1"/>
  <c r="G524" i="5"/>
  <c r="L524" i="5" s="1"/>
  <c r="G525" i="5"/>
  <c r="L525" i="5" s="1"/>
  <c r="G526" i="5"/>
  <c r="L526" i="5" s="1"/>
  <c r="G527" i="5"/>
  <c r="L527" i="5" s="1"/>
  <c r="G528" i="5"/>
  <c r="L528" i="5" s="1"/>
  <c r="G529" i="5"/>
  <c r="L529" i="5" s="1"/>
  <c r="G530" i="5"/>
  <c r="L530" i="5" s="1"/>
  <c r="G531" i="5"/>
  <c r="L531" i="5" s="1"/>
  <c r="G532" i="5"/>
  <c r="L532" i="5" s="1"/>
  <c r="G533" i="5"/>
  <c r="L533" i="5" s="1"/>
  <c r="G534" i="5"/>
  <c r="L534" i="5" s="1"/>
  <c r="G535" i="5"/>
  <c r="L535" i="5" s="1"/>
  <c r="G536" i="5"/>
  <c r="L536" i="5" s="1"/>
  <c r="G537" i="5"/>
  <c r="L537" i="5" s="1"/>
  <c r="G538" i="5"/>
  <c r="L538" i="5" s="1"/>
  <c r="G539" i="5"/>
  <c r="L539" i="5" s="1"/>
  <c r="G540" i="5"/>
  <c r="L540" i="5" s="1"/>
  <c r="G541" i="5"/>
  <c r="L541" i="5" s="1"/>
  <c r="G542" i="5"/>
  <c r="L542" i="5" s="1"/>
  <c r="G543" i="5"/>
  <c r="L543" i="5" s="1"/>
  <c r="G544" i="5"/>
  <c r="L544" i="5" s="1"/>
  <c r="G545" i="5"/>
  <c r="L545" i="5" s="1"/>
  <c r="G546" i="5"/>
  <c r="L546" i="5" s="1"/>
  <c r="G547" i="5"/>
  <c r="L547" i="5" s="1"/>
  <c r="G548" i="5"/>
  <c r="L548" i="5" s="1"/>
  <c r="G549" i="5"/>
  <c r="L549" i="5" s="1"/>
  <c r="G550" i="5"/>
  <c r="L550" i="5" s="1"/>
  <c r="G551" i="5"/>
  <c r="L551" i="5" s="1"/>
  <c r="G552" i="5"/>
  <c r="L552" i="5" s="1"/>
  <c r="G553" i="5"/>
  <c r="L553" i="5" s="1"/>
  <c r="G554" i="5"/>
  <c r="L554" i="5" s="1"/>
  <c r="G555" i="5"/>
  <c r="L555" i="5" s="1"/>
  <c r="G556" i="5"/>
  <c r="L556" i="5" s="1"/>
  <c r="G557" i="5"/>
  <c r="L557" i="5" s="1"/>
  <c r="G558" i="5"/>
  <c r="L558" i="5" s="1"/>
  <c r="G559" i="5"/>
  <c r="L559" i="5" s="1"/>
  <c r="G560" i="5"/>
  <c r="L560" i="5" s="1"/>
  <c r="G561" i="5"/>
  <c r="L561" i="5" s="1"/>
  <c r="G562" i="5"/>
  <c r="L562" i="5" s="1"/>
  <c r="G563" i="5"/>
  <c r="L563" i="5" s="1"/>
  <c r="G564" i="5"/>
  <c r="L564" i="5" s="1"/>
  <c r="G565" i="5"/>
  <c r="L565" i="5" s="1"/>
  <c r="G566" i="5"/>
  <c r="L566" i="5" s="1"/>
  <c r="G567" i="5"/>
  <c r="L567" i="5" s="1"/>
  <c r="G568" i="5"/>
  <c r="L568" i="5" s="1"/>
  <c r="G569" i="5"/>
  <c r="L569" i="5" s="1"/>
  <c r="G570" i="5"/>
  <c r="L570" i="5" s="1"/>
  <c r="G571" i="5"/>
  <c r="L571" i="5" s="1"/>
  <c r="G572" i="5"/>
  <c r="L572" i="5" s="1"/>
  <c r="G573" i="5"/>
  <c r="L573" i="5" s="1"/>
  <c r="G574" i="5"/>
  <c r="L574" i="5" s="1"/>
  <c r="G575" i="5"/>
  <c r="L575" i="5" s="1"/>
  <c r="G576" i="5"/>
  <c r="L576" i="5" s="1"/>
  <c r="G577" i="5"/>
  <c r="L577" i="5" s="1"/>
  <c r="G578" i="5"/>
  <c r="L578" i="5" s="1"/>
  <c r="G579" i="5"/>
  <c r="L579" i="5" s="1"/>
  <c r="G580" i="5"/>
  <c r="L580" i="5" s="1"/>
  <c r="G581" i="5"/>
  <c r="L581" i="5" s="1"/>
  <c r="G582" i="5"/>
  <c r="L582" i="5" s="1"/>
  <c r="G583" i="5"/>
  <c r="L583" i="5" s="1"/>
  <c r="G584" i="5"/>
  <c r="L584" i="5" s="1"/>
  <c r="G585" i="5"/>
  <c r="L585" i="5" s="1"/>
  <c r="G586" i="5"/>
  <c r="L586" i="5" s="1"/>
  <c r="G587" i="5"/>
  <c r="L587" i="5" s="1"/>
  <c r="G588" i="5"/>
  <c r="L588" i="5" s="1"/>
  <c r="G589" i="5"/>
  <c r="L589" i="5" s="1"/>
  <c r="G590" i="5"/>
  <c r="L590" i="5" s="1"/>
  <c r="G591" i="5"/>
  <c r="L591" i="5" s="1"/>
  <c r="G592" i="5"/>
  <c r="L592" i="5" s="1"/>
  <c r="G593" i="5"/>
  <c r="L593" i="5" s="1"/>
  <c r="G594" i="5"/>
  <c r="L594" i="5" s="1"/>
  <c r="G595" i="5"/>
  <c r="L595" i="5" s="1"/>
  <c r="G596" i="5"/>
  <c r="L596" i="5" s="1"/>
  <c r="G597" i="5"/>
  <c r="L597" i="5" s="1"/>
  <c r="G598" i="5"/>
  <c r="L598" i="5" s="1"/>
  <c r="G599" i="5"/>
  <c r="L599" i="5" s="1"/>
  <c r="G600" i="5"/>
  <c r="L600" i="5" s="1"/>
  <c r="G601" i="5"/>
  <c r="L601" i="5" s="1"/>
  <c r="G602" i="5"/>
  <c r="L602" i="5" s="1"/>
  <c r="G603" i="5"/>
  <c r="L603" i="5" s="1"/>
  <c r="G604" i="5"/>
  <c r="L604" i="5" s="1"/>
  <c r="G605" i="5"/>
  <c r="L605" i="5" s="1"/>
  <c r="G606" i="5"/>
  <c r="L606" i="5" s="1"/>
  <c r="G607" i="5"/>
  <c r="L607" i="5" s="1"/>
  <c r="G608" i="5"/>
  <c r="L608" i="5" s="1"/>
  <c r="G609" i="5"/>
  <c r="L609" i="5" s="1"/>
  <c r="E2" i="4"/>
  <c r="G2" i="4"/>
  <c r="I2" i="4"/>
  <c r="K2" i="4"/>
  <c r="M2" i="4"/>
  <c r="O2" i="4"/>
  <c r="E3" i="4"/>
  <c r="G3" i="4"/>
  <c r="I3" i="4"/>
  <c r="K3" i="4"/>
  <c r="M3" i="4"/>
  <c r="O3" i="4"/>
  <c r="E4" i="4"/>
  <c r="G4" i="4"/>
  <c r="I4" i="4"/>
  <c r="K4" i="4"/>
  <c r="M4" i="4"/>
  <c r="O4" i="4"/>
  <c r="E5" i="4"/>
  <c r="G5" i="4"/>
  <c r="I5" i="4"/>
  <c r="K5" i="4"/>
  <c r="M5" i="4"/>
  <c r="O5" i="4"/>
  <c r="E6" i="4"/>
  <c r="G6" i="4"/>
  <c r="I6" i="4"/>
  <c r="K6" i="4"/>
  <c r="M6" i="4"/>
  <c r="O6" i="4"/>
  <c r="E7" i="4"/>
  <c r="G7" i="4"/>
  <c r="I7" i="4"/>
  <c r="K7" i="4"/>
  <c r="M7" i="4"/>
  <c r="O7" i="4"/>
  <c r="E8" i="4"/>
  <c r="G8" i="4"/>
  <c r="I8" i="4"/>
  <c r="K8" i="4"/>
  <c r="M8" i="4"/>
  <c r="O8" i="4"/>
  <c r="E9" i="4"/>
  <c r="G9" i="4"/>
  <c r="I9" i="4"/>
  <c r="K9" i="4"/>
  <c r="M9" i="4"/>
  <c r="O9" i="4"/>
  <c r="E10" i="4"/>
  <c r="G10" i="4"/>
  <c r="I10" i="4"/>
  <c r="K10" i="4"/>
  <c r="M10" i="4"/>
  <c r="O10" i="4"/>
  <c r="E11" i="4"/>
  <c r="G11" i="4"/>
  <c r="I11" i="4"/>
  <c r="K11" i="4"/>
  <c r="M11" i="4"/>
  <c r="O11" i="4"/>
  <c r="E12" i="4"/>
  <c r="G12" i="4"/>
  <c r="I12" i="4"/>
  <c r="K12" i="4"/>
  <c r="M12" i="4"/>
  <c r="O12" i="4"/>
  <c r="E13" i="4"/>
  <c r="G13" i="4"/>
  <c r="I13" i="4"/>
  <c r="K13" i="4"/>
  <c r="M13" i="4"/>
  <c r="O13" i="4"/>
  <c r="E14" i="4"/>
  <c r="G14" i="4"/>
  <c r="I14" i="4"/>
  <c r="K14" i="4"/>
  <c r="M14" i="4"/>
  <c r="O14" i="4"/>
  <c r="E15" i="4"/>
  <c r="G15" i="4"/>
  <c r="I15" i="4"/>
  <c r="K15" i="4"/>
  <c r="M15" i="4"/>
  <c r="O15" i="4"/>
  <c r="E16" i="4"/>
  <c r="G16" i="4"/>
  <c r="I16" i="4"/>
  <c r="K16" i="4"/>
  <c r="M16" i="4"/>
  <c r="O16" i="4"/>
  <c r="E17" i="4"/>
  <c r="G17" i="4"/>
  <c r="I17" i="4"/>
  <c r="K17" i="4"/>
  <c r="M17" i="4"/>
  <c r="O17" i="4"/>
  <c r="E18" i="4"/>
  <c r="G18" i="4"/>
  <c r="I18" i="4"/>
  <c r="K18" i="4"/>
  <c r="M18" i="4"/>
  <c r="O18" i="4"/>
  <c r="E19" i="4"/>
  <c r="G19" i="4"/>
  <c r="I19" i="4"/>
  <c r="K19" i="4"/>
  <c r="M19" i="4"/>
  <c r="O19" i="4"/>
  <c r="E20" i="4"/>
  <c r="G20" i="4"/>
  <c r="I20" i="4"/>
  <c r="K20" i="4"/>
  <c r="M20" i="4"/>
  <c r="O20" i="4"/>
  <c r="E21" i="4"/>
  <c r="G21" i="4"/>
  <c r="I21" i="4"/>
  <c r="K21" i="4"/>
  <c r="M21" i="4"/>
  <c r="O21" i="4"/>
  <c r="E22" i="4"/>
  <c r="G22" i="4"/>
  <c r="I22" i="4"/>
  <c r="K22" i="4"/>
  <c r="M22" i="4"/>
  <c r="O22" i="4"/>
  <c r="E23" i="4"/>
  <c r="G23" i="4"/>
  <c r="I23" i="4"/>
  <c r="K23" i="4"/>
  <c r="P23" i="4" s="1"/>
  <c r="M23" i="4"/>
  <c r="O23" i="4"/>
  <c r="E24" i="4"/>
  <c r="G24" i="4"/>
  <c r="I24" i="4"/>
  <c r="K24" i="4"/>
  <c r="M24" i="4"/>
  <c r="O24" i="4"/>
  <c r="E25" i="4"/>
  <c r="G25" i="4"/>
  <c r="I25" i="4"/>
  <c r="K25" i="4"/>
  <c r="M25" i="4"/>
  <c r="O25" i="4"/>
  <c r="E26" i="4"/>
  <c r="G26" i="4"/>
  <c r="I26" i="4"/>
  <c r="K26" i="4"/>
  <c r="M26" i="4"/>
  <c r="O26" i="4"/>
  <c r="E27" i="4"/>
  <c r="G27" i="4"/>
  <c r="I27" i="4"/>
  <c r="K27" i="4"/>
  <c r="M27" i="4"/>
  <c r="O27" i="4"/>
  <c r="E28" i="4"/>
  <c r="G28" i="4"/>
  <c r="I28" i="4"/>
  <c r="K28" i="4"/>
  <c r="M28" i="4"/>
  <c r="O28" i="4"/>
  <c r="E29" i="4"/>
  <c r="G29" i="4"/>
  <c r="I29" i="4"/>
  <c r="K29" i="4"/>
  <c r="M29" i="4"/>
  <c r="O29" i="4"/>
  <c r="E30" i="4"/>
  <c r="G30" i="4"/>
  <c r="I30" i="4"/>
  <c r="K30" i="4"/>
  <c r="M30" i="4"/>
  <c r="O30" i="4"/>
  <c r="E31" i="4"/>
  <c r="G31" i="4"/>
  <c r="I31" i="4"/>
  <c r="P31" i="4" s="1"/>
  <c r="K31" i="4"/>
  <c r="M31" i="4"/>
  <c r="O31" i="4"/>
  <c r="E32" i="4"/>
  <c r="G32" i="4"/>
  <c r="I32" i="4"/>
  <c r="K32" i="4"/>
  <c r="M32" i="4"/>
  <c r="O32" i="4"/>
  <c r="E33" i="4"/>
  <c r="G33" i="4"/>
  <c r="I33" i="4"/>
  <c r="K33" i="4"/>
  <c r="M33" i="4"/>
  <c r="O33" i="4"/>
  <c r="E34" i="4"/>
  <c r="G34" i="4"/>
  <c r="I34" i="4"/>
  <c r="K34" i="4"/>
  <c r="M34" i="4"/>
  <c r="O34" i="4"/>
  <c r="E35" i="4"/>
  <c r="G35" i="4"/>
  <c r="I35" i="4"/>
  <c r="K35" i="4"/>
  <c r="M35" i="4"/>
  <c r="O35" i="4"/>
  <c r="E36" i="4"/>
  <c r="G36" i="4"/>
  <c r="I36" i="4"/>
  <c r="K36" i="4"/>
  <c r="M36" i="4"/>
  <c r="O36" i="4"/>
  <c r="E37" i="4"/>
  <c r="G37" i="4"/>
  <c r="I37" i="4"/>
  <c r="K37" i="4"/>
  <c r="M37" i="4"/>
  <c r="O37" i="4"/>
  <c r="E38" i="4"/>
  <c r="G38" i="4"/>
  <c r="I38" i="4"/>
  <c r="K38" i="4"/>
  <c r="M38" i="4"/>
  <c r="O38" i="4"/>
  <c r="E39" i="4"/>
  <c r="G39" i="4"/>
  <c r="I39" i="4"/>
  <c r="K39" i="4"/>
  <c r="M39" i="4"/>
  <c r="O39" i="4"/>
  <c r="E40" i="4"/>
  <c r="G40" i="4"/>
  <c r="I40" i="4"/>
  <c r="K40" i="4"/>
  <c r="M40" i="4"/>
  <c r="O40" i="4"/>
  <c r="E41" i="4"/>
  <c r="G41" i="4"/>
  <c r="I41" i="4"/>
  <c r="K41" i="4"/>
  <c r="M41" i="4"/>
  <c r="O41" i="4"/>
  <c r="E42" i="4"/>
  <c r="G42" i="4"/>
  <c r="I42" i="4"/>
  <c r="K42" i="4"/>
  <c r="M42" i="4"/>
  <c r="O42" i="4"/>
  <c r="E43" i="4"/>
  <c r="G43" i="4"/>
  <c r="I43" i="4"/>
  <c r="K43" i="4"/>
  <c r="M43" i="4"/>
  <c r="O43" i="4"/>
  <c r="E44" i="4"/>
  <c r="G44" i="4"/>
  <c r="I44" i="4"/>
  <c r="K44" i="4"/>
  <c r="M44" i="4"/>
  <c r="O44" i="4"/>
  <c r="E45" i="4"/>
  <c r="G45" i="4"/>
  <c r="I45" i="4"/>
  <c r="K45" i="4"/>
  <c r="M45" i="4"/>
  <c r="O45" i="4"/>
  <c r="E46" i="4"/>
  <c r="G46" i="4"/>
  <c r="I46" i="4"/>
  <c r="K46" i="4"/>
  <c r="M46" i="4"/>
  <c r="O46" i="4"/>
  <c r="E47" i="4"/>
  <c r="G47" i="4"/>
  <c r="I47" i="4"/>
  <c r="K47" i="4"/>
  <c r="M47" i="4"/>
  <c r="O47" i="4"/>
  <c r="C49" i="4"/>
  <c r="D49" i="4"/>
  <c r="F49" i="4"/>
  <c r="H49" i="4"/>
  <c r="J49" i="4"/>
  <c r="L49" i="4"/>
  <c r="N49" i="4"/>
  <c r="P47" i="4" l="1"/>
  <c r="P39" i="4"/>
  <c r="P15" i="4"/>
  <c r="P11" i="4"/>
  <c r="P8" i="4"/>
  <c r="P7" i="4"/>
  <c r="P20" i="4"/>
  <c r="P45" i="4"/>
  <c r="P41" i="4"/>
  <c r="M1731" i="2"/>
  <c r="J1731" i="2"/>
  <c r="P33" i="4"/>
  <c r="P12" i="4"/>
  <c r="M49" i="4"/>
  <c r="E49" i="4"/>
  <c r="P37" i="4"/>
  <c r="P46" i="4"/>
  <c r="P29" i="4"/>
  <c r="O49" i="4"/>
  <c r="P40" i="4"/>
  <c r="P38" i="4"/>
  <c r="P34" i="4"/>
  <c r="P21" i="4"/>
  <c r="P17" i="4"/>
  <c r="P4" i="4"/>
  <c r="K49" i="4"/>
  <c r="P43" i="4"/>
  <c r="P32" i="4"/>
  <c r="P30" i="4"/>
  <c r="P26" i="4"/>
  <c r="P13" i="4"/>
  <c r="P9" i="4"/>
  <c r="P24" i="4"/>
  <c r="P22" i="4"/>
  <c r="P18" i="4"/>
  <c r="P5" i="4"/>
  <c r="P42" i="4"/>
  <c r="P44" i="4"/>
  <c r="P36" i="4"/>
  <c r="P27" i="4"/>
  <c r="P16" i="4"/>
  <c r="P14" i="4"/>
  <c r="P10" i="4"/>
  <c r="G49" i="4"/>
  <c r="P25" i="4"/>
  <c r="P35" i="4"/>
  <c r="P28" i="4"/>
  <c r="P19" i="4"/>
  <c r="P6" i="4"/>
  <c r="I49" i="4"/>
  <c r="P2" i="4"/>
  <c r="P3" i="4"/>
  <c r="K1731" i="2" l="1"/>
  <c r="P49" i="4"/>
  <c r="P793" i="2" l="1"/>
  <c r="P499" i="2"/>
  <c r="P339" i="2"/>
  <c r="P1163" i="2"/>
  <c r="P588" i="2"/>
  <c r="P1069" i="2"/>
  <c r="P1079" i="2"/>
  <c r="P852" i="2"/>
  <c r="P740" i="2"/>
  <c r="P459" i="2"/>
  <c r="P283" i="2"/>
  <c r="P1362" i="2"/>
  <c r="N1731" i="2"/>
  <c r="P1080" i="2"/>
  <c r="P897" i="2"/>
  <c r="P134" i="2"/>
  <c r="P66" i="2"/>
  <c r="P430" i="2"/>
  <c r="P522" i="2"/>
  <c r="P328" i="2"/>
  <c r="P674" i="2"/>
  <c r="P1503" i="2"/>
  <c r="P397" i="2"/>
  <c r="P1310" i="2"/>
  <c r="P860" i="2"/>
  <c r="P29" i="2"/>
  <c r="P247" i="2"/>
  <c r="P1458" i="2"/>
  <c r="P1438" i="2"/>
  <c r="P1316" i="2"/>
  <c r="P1282" i="2"/>
  <c r="P1308" i="2"/>
  <c r="P253" i="2"/>
  <c r="P1277" i="2"/>
  <c r="P1441" i="2"/>
  <c r="P1331" i="2"/>
  <c r="P580" i="2"/>
  <c r="P927" i="2"/>
  <c r="P1543" i="2"/>
  <c r="P1715" i="2"/>
  <c r="P1539" i="2"/>
  <c r="P246" i="2"/>
  <c r="P535" i="2"/>
  <c r="P293" i="2"/>
  <c r="P565" i="2"/>
  <c r="P1618" i="2"/>
  <c r="P991" i="2"/>
  <c r="P672" i="2"/>
  <c r="P162" i="2"/>
  <c r="P1599" i="2"/>
  <c r="P741" i="2"/>
  <c r="P148" i="2"/>
  <c r="P1608" i="2"/>
  <c r="P1452" i="2"/>
  <c r="P1724" i="2"/>
  <c r="P1555" i="2"/>
  <c r="P1504" i="2"/>
  <c r="P325" i="2"/>
  <c r="P187" i="2"/>
  <c r="P1325" i="2"/>
  <c r="P981" i="2"/>
  <c r="P913" i="2"/>
  <c r="P1307" i="2"/>
  <c r="P326" i="2"/>
  <c r="P589" i="2"/>
  <c r="P1252" i="2"/>
  <c r="P1710" i="2"/>
  <c r="P1213" i="2"/>
  <c r="P963" i="2"/>
  <c r="P1526" i="2"/>
  <c r="P1705" i="2"/>
  <c r="P549" i="2"/>
  <c r="P255" i="2"/>
  <c r="P561" i="2"/>
  <c r="P757" i="2"/>
  <c r="P1342" i="2"/>
  <c r="P982" i="2"/>
  <c r="P1226" i="2"/>
  <c r="P1021" i="2"/>
  <c r="P1572" i="2"/>
  <c r="P778" i="2"/>
  <c r="P1168" i="2"/>
  <c r="P1623" i="2"/>
  <c r="P546" i="2"/>
  <c r="P1321" i="2"/>
  <c r="P460" i="2"/>
  <c r="P920" i="2"/>
  <c r="P278" i="2"/>
  <c r="P514" i="2"/>
  <c r="P876" i="2"/>
  <c r="P351" i="2"/>
  <c r="P1621" i="2"/>
  <c r="P139" i="2"/>
  <c r="P657" i="2"/>
  <c r="P208" i="2"/>
  <c r="P1393" i="2"/>
  <c r="P1487" i="2"/>
  <c r="P4" i="2"/>
  <c r="P1221" i="2"/>
  <c r="P193" i="2"/>
  <c r="P1235" i="2"/>
  <c r="P1136" i="2"/>
  <c r="P504" i="2"/>
  <c r="P1582" i="2"/>
  <c r="P86" i="2"/>
  <c r="P1030" i="2"/>
  <c r="P660" i="2"/>
  <c r="P322" i="2"/>
  <c r="P350" i="2"/>
  <c r="P789" i="2"/>
  <c r="P382" i="2"/>
  <c r="P236" i="2"/>
  <c r="P822" i="2"/>
  <c r="P550" i="2"/>
  <c r="P1161" i="2"/>
  <c r="P1527" i="2"/>
  <c r="P1054" i="2"/>
  <c r="P1463" i="2"/>
  <c r="P1529" i="2"/>
  <c r="P1520" i="2"/>
  <c r="P859" i="2"/>
  <c r="P84" i="2"/>
  <c r="P1515" i="2"/>
  <c r="P1351" i="2"/>
  <c r="P1600" i="2"/>
  <c r="P1001" i="2"/>
  <c r="P735" i="2"/>
  <c r="P237" i="2"/>
  <c r="P1064" i="2"/>
  <c r="P879" i="2"/>
  <c r="P101" i="2"/>
  <c r="P1366" i="2"/>
  <c r="P1557" i="2"/>
  <c r="P234" i="2"/>
  <c r="P1649" i="2"/>
  <c r="P1581" i="2"/>
  <c r="P542" i="2"/>
  <c r="P968" i="2"/>
  <c r="P99" i="2"/>
  <c r="P73" i="2"/>
  <c r="P458" i="2"/>
  <c r="P1229" i="2"/>
  <c r="P225" i="2"/>
  <c r="P1434" i="2"/>
  <c r="P180" i="2"/>
  <c r="P1304" i="2"/>
  <c r="P1119" i="2"/>
  <c r="P319" i="2"/>
  <c r="P1047" i="2"/>
  <c r="P802" i="2"/>
  <c r="P59" i="2"/>
  <c r="P704" i="2"/>
  <c r="P1323" i="2"/>
  <c r="P525" i="2"/>
  <c r="P1376" i="2"/>
  <c r="P146" i="2"/>
  <c r="P1257" i="2"/>
  <c r="P1461" i="2"/>
  <c r="P1375" i="2"/>
  <c r="P945" i="2"/>
  <c r="P766" i="2"/>
  <c r="P1005" i="2"/>
  <c r="P710" i="2"/>
  <c r="P1070" i="2"/>
  <c r="P94" i="2"/>
  <c r="P1303" i="2"/>
  <c r="P979" i="2"/>
  <c r="P412" i="2"/>
  <c r="P1032" i="2"/>
  <c r="P1246" i="2"/>
  <c r="P666" i="2"/>
  <c r="P1629" i="2"/>
  <c r="P1447" i="2"/>
  <c r="P1614" i="2"/>
  <c r="P965" i="2"/>
  <c r="P993" i="2"/>
  <c r="P1698" i="2"/>
  <c r="P532" i="2"/>
  <c r="P243" i="2"/>
  <c r="P1212" i="2"/>
  <c r="P45" i="2"/>
  <c r="P147" i="2"/>
  <c r="P218" i="2"/>
  <c r="P1022" i="2"/>
  <c r="P1474" i="2"/>
  <c r="P5" i="2"/>
  <c r="P62" i="2"/>
  <c r="P8" i="2"/>
  <c r="P69" i="2"/>
  <c r="P1108" i="2"/>
  <c r="P1679" i="2"/>
  <c r="P530" i="2"/>
  <c r="P795" i="2"/>
  <c r="P305" i="2"/>
  <c r="P1523" i="2"/>
  <c r="P1501" i="2"/>
  <c r="P1196" i="2"/>
  <c r="P52" i="2"/>
  <c r="P1595" i="2"/>
  <c r="P170" i="2"/>
  <c r="P411" i="2"/>
  <c r="P468" i="2"/>
  <c r="P1602" i="2"/>
  <c r="P32" i="2"/>
  <c r="P703" i="2"/>
  <c r="P61" i="2"/>
  <c r="P1287" i="2"/>
  <c r="P1385" i="2"/>
  <c r="P1675" i="2"/>
  <c r="P662" i="2"/>
  <c r="P599" i="2"/>
  <c r="P527" i="2"/>
  <c r="P1518" i="2"/>
  <c r="P1198" i="2"/>
  <c r="P1335" i="2"/>
  <c r="P274" i="2"/>
  <c r="P403" i="2"/>
  <c r="P1341" i="2"/>
  <c r="P663" i="2"/>
  <c r="P1622" i="2"/>
  <c r="P585" i="2"/>
  <c r="P1381" i="2"/>
  <c r="P1701" i="2"/>
  <c r="P496" i="2"/>
  <c r="P633" i="2"/>
  <c r="P972" i="2"/>
  <c r="P77" i="2"/>
  <c r="P1574" i="2"/>
  <c r="P510" i="2"/>
  <c r="P937" i="2"/>
  <c r="P188" i="2"/>
  <c r="P583" i="2"/>
  <c r="P228" i="2"/>
  <c r="P1697" i="2"/>
  <c r="P1296" i="2"/>
  <c r="P1619" i="2"/>
  <c r="P1470" i="2"/>
  <c r="P1462" i="2"/>
  <c r="P914" i="2"/>
  <c r="P1309" i="2"/>
  <c r="P899" i="2"/>
  <c r="P1113" i="2"/>
  <c r="P632" i="2"/>
  <c r="P1160" i="2"/>
  <c r="P182" i="2"/>
  <c r="P1499" i="2"/>
  <c r="P1634" i="2"/>
  <c r="P780" i="2"/>
  <c r="P112" i="2"/>
  <c r="P95" i="2"/>
  <c r="P431" i="2"/>
  <c r="P1224" i="2"/>
  <c r="P998" i="2"/>
  <c r="P1122" i="2"/>
  <c r="P131" i="2"/>
  <c r="P1380" i="2"/>
  <c r="P1288" i="2"/>
  <c r="P1187" i="2"/>
  <c r="P1017" i="2"/>
  <c r="P1312" i="2"/>
  <c r="P1450" i="2"/>
  <c r="P1490" i="2"/>
  <c r="P474" i="2"/>
  <c r="P688" i="2"/>
  <c r="P1004" i="2"/>
  <c r="P266" i="2"/>
  <c r="P469" i="2"/>
  <c r="P696" i="2"/>
  <c r="P1159" i="2"/>
  <c r="P342" i="2"/>
  <c r="P1666" i="2"/>
  <c r="P1361" i="2"/>
  <c r="P1477" i="2"/>
  <c r="P1402" i="2"/>
  <c r="P231" i="2"/>
  <c r="P1027" i="2"/>
  <c r="P954" i="2"/>
  <c r="P528" i="2"/>
  <c r="P1654" i="2"/>
  <c r="P1688" i="2"/>
  <c r="P1028" i="2"/>
  <c r="P1178" i="2"/>
  <c r="P31" i="2"/>
  <c r="P609" i="2"/>
  <c r="P1674" i="2"/>
  <c r="P1298" i="2"/>
  <c r="P1220" i="2"/>
  <c r="P1151" i="2"/>
  <c r="P529" i="2"/>
  <c r="P78" i="2"/>
  <c r="P161" i="2"/>
  <c r="P169" i="2"/>
  <c r="P1638" i="2"/>
  <c r="P157" i="2"/>
  <c r="P445" i="2"/>
  <c r="P1702" i="2"/>
  <c r="P294" i="2"/>
  <c r="P281" i="2"/>
  <c r="P1189" i="2"/>
  <c r="P207" i="2"/>
  <c r="P37" i="2"/>
  <c r="P1333" i="2"/>
  <c r="P559" i="2"/>
  <c r="P1534" i="2"/>
  <c r="P17" i="2"/>
  <c r="P1396" i="2"/>
  <c r="P863" i="2"/>
  <c r="P1478" i="2"/>
  <c r="P1042" i="2"/>
  <c r="P425" i="2"/>
  <c r="P1365" i="2"/>
  <c r="P1256" i="2"/>
  <c r="P48" i="2"/>
  <c r="P1353" i="2"/>
  <c r="P1289" i="2"/>
  <c r="P1471" i="2"/>
  <c r="P1292" i="2"/>
  <c r="P18" i="2"/>
  <c r="P467" i="2"/>
  <c r="P600" i="2"/>
  <c r="P1129" i="2"/>
  <c r="P518" i="2"/>
  <c r="P79" i="2"/>
  <c r="P533" i="2"/>
  <c r="P1390" i="2"/>
  <c r="P98" i="2"/>
  <c r="P882" i="2"/>
  <c r="P1488" i="2"/>
  <c r="P884" i="2"/>
  <c r="P1646" i="2"/>
  <c r="P1007" i="2"/>
  <c r="P1369" i="2"/>
  <c r="P285" i="2"/>
  <c r="P41" i="2"/>
  <c r="P413" i="2"/>
  <c r="P1643" i="2"/>
  <c r="P552" i="2"/>
  <c r="P1337" i="2"/>
  <c r="P203" i="2"/>
  <c r="P1677" i="2"/>
  <c r="P1247" i="2"/>
  <c r="P994" i="2"/>
  <c r="P140" i="2"/>
  <c r="P1663" i="2"/>
  <c r="P54" i="2"/>
  <c r="P938" i="2"/>
  <c r="P536" i="2"/>
  <c r="P194" i="2"/>
  <c r="P53" i="2"/>
  <c r="P715" i="2"/>
  <c r="P1709" i="2"/>
  <c r="P1174" i="2"/>
  <c r="P1510" i="2"/>
  <c r="P1132" i="2"/>
  <c r="P1086" i="2"/>
  <c r="P1590" i="2"/>
  <c r="P909" i="2"/>
  <c r="P1324" i="2"/>
  <c r="P676" i="2"/>
  <c r="P669" i="2"/>
  <c r="P871" i="2"/>
  <c r="P1111" i="2"/>
  <c r="P1372" i="2"/>
  <c r="P567" i="2"/>
  <c r="P9" i="2"/>
  <c r="P734" i="2"/>
  <c r="P192" i="2"/>
  <c r="P659" i="2"/>
  <c r="P1437" i="2"/>
  <c r="P39" i="2"/>
  <c r="P707" i="2"/>
  <c r="P1459" i="2"/>
  <c r="P956" i="2"/>
  <c r="P877" i="2"/>
  <c r="P649" i="2"/>
  <c r="P226" i="2"/>
  <c r="P1511" i="2"/>
  <c r="P1115" i="2"/>
  <c r="P1216" i="2"/>
  <c r="P181" i="2"/>
  <c r="P573" i="2"/>
  <c r="P1678" i="2"/>
  <c r="P1067" i="2"/>
  <c r="P1025" i="2"/>
  <c r="P1048" i="2"/>
  <c r="P1114" i="2"/>
  <c r="P1426" i="2"/>
  <c r="P165" i="2"/>
  <c r="P881" i="2"/>
  <c r="P1443" i="2"/>
  <c r="P1661" i="2"/>
  <c r="P524" i="2"/>
  <c r="P1655" i="2"/>
  <c r="P491" i="2"/>
  <c r="P690" i="2"/>
  <c r="P189" i="2"/>
  <c r="P57" i="2"/>
  <c r="P1350" i="2"/>
  <c r="P1188" i="2"/>
  <c r="P1711" i="2"/>
  <c r="P875" i="2"/>
  <c r="P336" i="2"/>
  <c r="P212" i="2"/>
  <c r="P907" i="2"/>
  <c r="P184" i="2"/>
  <c r="P844" i="2"/>
  <c r="P1586" i="2"/>
  <c r="P1285" i="2"/>
  <c r="P454" i="2"/>
  <c r="P1401" i="2"/>
  <c r="P429" i="2"/>
  <c r="P575" i="2"/>
  <c r="P426" i="2"/>
  <c r="P195" i="2"/>
  <c r="P689" i="2"/>
  <c r="P1454" i="2"/>
  <c r="P1294" i="2"/>
  <c r="P788" i="2"/>
  <c r="P1250" i="2"/>
  <c r="P857" i="2"/>
  <c r="P810" i="2"/>
  <c r="P842" i="2"/>
  <c r="P1571" i="2"/>
  <c r="P1392" i="2"/>
  <c r="P1116" i="2"/>
  <c r="P987" i="2"/>
  <c r="P251" i="2"/>
  <c r="P56" i="2"/>
  <c r="P1687" i="2"/>
  <c r="P481" i="2"/>
  <c r="P587" i="2"/>
  <c r="P1625" i="2"/>
  <c r="P287" i="2"/>
  <c r="P191" i="2"/>
  <c r="P130" i="2"/>
  <c r="P765" i="2"/>
  <c r="P1060" i="2"/>
  <c r="P934" i="2"/>
  <c r="P1427" i="2"/>
  <c r="P239" i="2"/>
  <c r="P93" i="2"/>
  <c r="P63" i="2"/>
  <c r="P1302" i="2"/>
  <c r="P1439" i="2"/>
  <c r="P1552" i="2"/>
  <c r="P511" i="2"/>
  <c r="P1544" i="2"/>
  <c r="P966" i="2"/>
  <c r="P1485" i="2"/>
  <c r="P889" i="2"/>
  <c r="P1598" i="2"/>
  <c r="P1512" i="2"/>
  <c r="P1569" i="2"/>
  <c r="P60" i="2"/>
  <c r="P1453" i="2"/>
  <c r="P224" i="2"/>
  <c r="P242" i="2"/>
  <c r="P244" i="2"/>
  <c r="P1637" i="2"/>
  <c r="P1407" i="2"/>
  <c r="P680" i="2"/>
  <c r="P444" i="2"/>
  <c r="P421" i="2"/>
  <c r="P440" i="2"/>
  <c r="P517" i="2"/>
  <c r="P1417" i="2"/>
  <c r="P630" i="2"/>
  <c r="P1105" i="2"/>
  <c r="P1137" i="2"/>
  <c r="P670" i="2"/>
  <c r="P81" i="2"/>
  <c r="P441" i="2"/>
  <c r="P1305" i="2"/>
  <c r="P1006" i="2"/>
  <c r="P548" i="2"/>
  <c r="P647" i="2"/>
  <c r="P1371" i="2"/>
  <c r="P1718" i="2"/>
  <c r="P1538" i="2"/>
  <c r="P12" i="2"/>
  <c r="P1631" i="2"/>
  <c r="P646" i="2"/>
  <c r="P219" i="2"/>
  <c r="P743" i="2"/>
  <c r="P656" i="2"/>
  <c r="P1394" i="2"/>
  <c r="P762" i="2"/>
  <c r="P1589" i="2"/>
  <c r="P1685" i="2"/>
  <c r="P1013" i="2"/>
  <c r="P957" i="2"/>
  <c r="P257" i="2"/>
  <c r="P104" i="2"/>
  <c r="P1456" i="2"/>
  <c r="P1270" i="2"/>
  <c r="P1300" i="2"/>
  <c r="P1155" i="2"/>
  <c r="P1373" i="2"/>
  <c r="P175" i="2"/>
  <c r="P1615" i="2"/>
  <c r="P1190" i="2"/>
  <c r="P1442" i="2"/>
  <c r="P1231" i="2"/>
  <c r="P354" i="2"/>
  <c r="P918" i="2"/>
  <c r="P1388" i="2"/>
  <c r="P1628" i="2"/>
  <c r="P1588" i="2"/>
  <c r="P414" i="2"/>
  <c r="P427" i="2"/>
  <c r="P592" i="2"/>
  <c r="P706" i="2"/>
  <c r="P185" i="2"/>
  <c r="P1577" i="2"/>
  <c r="P1073" i="2"/>
  <c r="P1236" i="2"/>
  <c r="P727" i="2"/>
  <c r="P1696" i="2"/>
  <c r="P1268" i="2"/>
  <c r="P76" i="2"/>
  <c r="P1081" i="2"/>
  <c r="P1065" i="2"/>
  <c r="P477" i="2"/>
  <c r="P572" i="2"/>
  <c r="P874" i="2"/>
  <c r="P318" i="2"/>
  <c r="P1149" i="2"/>
  <c r="P1133" i="2"/>
  <c r="P1662" i="2"/>
  <c r="P1683" i="2"/>
  <c r="P1014" i="2"/>
  <c r="P1194" i="2"/>
  <c r="P220" i="2"/>
  <c r="P906" i="2"/>
  <c r="P598" i="2"/>
  <c r="P1713" i="2"/>
  <c r="P248" i="2"/>
  <c r="P513" i="2"/>
  <c r="P564" i="2"/>
  <c r="P947" i="2"/>
  <c r="P512" i="2"/>
  <c r="P1358" i="2"/>
  <c r="P1545" i="2"/>
  <c r="P951" i="2"/>
  <c r="P1597" i="2"/>
  <c r="P58" i="2"/>
  <c r="P136" i="2"/>
  <c r="P498" i="2"/>
  <c r="P969" i="2"/>
  <c r="P1002" i="2"/>
  <c r="P50" i="2"/>
  <c r="P1354" i="2"/>
  <c r="P1265" i="2"/>
  <c r="P33" i="2"/>
  <c r="P238" i="2"/>
  <c r="P1098" i="2"/>
  <c r="P1096" i="2"/>
  <c r="P1540" i="2"/>
  <c r="P1169" i="2"/>
  <c r="P930" i="2"/>
  <c r="P113" i="2"/>
  <c r="P855" i="2"/>
  <c r="P678" i="2"/>
  <c r="P217" i="2"/>
  <c r="P1210" i="2"/>
  <c r="P849" i="2"/>
  <c r="P729" i="2"/>
  <c r="P845" i="2"/>
  <c r="P199" i="2"/>
  <c r="P471" i="2"/>
  <c r="P878" i="2"/>
  <c r="P1184" i="2"/>
  <c r="P214" i="2"/>
  <c r="P1411" i="2"/>
  <c r="P990" i="2"/>
  <c r="P123" i="2"/>
  <c r="P503" i="2"/>
  <c r="P864" i="2"/>
  <c r="P1018" i="2"/>
  <c r="P1011" i="2"/>
  <c r="P1232" i="2"/>
  <c r="P1147" i="2"/>
  <c r="P1693" i="2"/>
  <c r="P865" i="2"/>
  <c r="P1542" i="2"/>
  <c r="P746" i="2"/>
  <c r="P254" i="2"/>
  <c r="P1360" i="2"/>
  <c r="P926" i="2"/>
  <c r="P1584" i="2"/>
  <c r="P986" i="2"/>
  <c r="P1315" i="2"/>
  <c r="P1368" i="2"/>
  <c r="P1596" i="2"/>
  <c r="P1068" i="2"/>
  <c r="P280" i="2"/>
  <c r="P1245" i="2"/>
  <c r="P1237" i="2"/>
  <c r="P260" i="2"/>
  <c r="P708" i="2"/>
  <c r="P144" i="2"/>
  <c r="P1140" i="2"/>
  <c r="P1075" i="2"/>
  <c r="P1009" i="2"/>
  <c r="P1418" i="2"/>
  <c r="P1480" i="2"/>
  <c r="P840" i="2"/>
  <c r="P341" i="2"/>
  <c r="P258" i="2"/>
  <c r="P705" i="2"/>
  <c r="P1714" i="2"/>
  <c r="P602" i="2"/>
  <c r="P970" i="2"/>
  <c r="P1644" i="2"/>
  <c r="P333" i="2"/>
  <c r="P476" i="2"/>
  <c r="P1097" i="2"/>
  <c r="P1233" i="2"/>
  <c r="P1049" i="2"/>
  <c r="P1010" i="2"/>
  <c r="P1603" i="2"/>
  <c r="P1158" i="2"/>
  <c r="P1085" i="2"/>
  <c r="P1327" i="2"/>
  <c r="P775" i="2"/>
  <c r="P1405" i="2"/>
  <c r="P931" i="2"/>
  <c r="P235" i="2"/>
  <c r="P645" i="2"/>
  <c r="P1244" i="2"/>
  <c r="P177" i="2"/>
  <c r="P1363" i="2"/>
  <c r="P38" i="2"/>
  <c r="P71" i="2"/>
  <c r="P282" i="2"/>
  <c r="P711" i="2"/>
  <c r="P176" i="2"/>
  <c r="P538" i="2"/>
  <c r="P644" i="2"/>
  <c r="P601" i="2"/>
  <c r="P1258" i="2"/>
  <c r="P861" i="2"/>
  <c r="P1156" i="2"/>
  <c r="P124" i="2"/>
  <c r="P127" i="2"/>
  <c r="P1435" i="2"/>
  <c r="P792" i="2"/>
  <c r="P1483" i="2"/>
  <c r="P88" i="2"/>
  <c r="P74" i="2"/>
  <c r="P597" i="2"/>
  <c r="P1259" i="2"/>
  <c r="P1367" i="2"/>
  <c r="P117" i="2"/>
  <c r="P661" i="2"/>
  <c r="P1466" i="2"/>
  <c r="P1607" i="2"/>
  <c r="P1425" i="2"/>
  <c r="P1609" i="2"/>
  <c r="P936" i="2"/>
  <c r="P432" i="2"/>
  <c r="P699" i="2"/>
  <c r="P1240" i="2"/>
  <c r="P415" i="2"/>
  <c r="P1639" i="2"/>
  <c r="P1251" i="2"/>
  <c r="P19" i="2"/>
  <c r="P667" i="2"/>
  <c r="P1424" i="2"/>
  <c r="P34" i="2"/>
  <c r="P880" i="2"/>
  <c r="P1370" i="2"/>
  <c r="P509" i="2"/>
  <c r="P1422" i="2"/>
  <c r="P1416" i="2"/>
  <c r="P1297" i="2"/>
  <c r="P547" i="2"/>
  <c r="P760" i="2"/>
  <c r="P1708" i="2"/>
  <c r="P973" i="2"/>
  <c r="P1162" i="2"/>
  <c r="P1267" i="2"/>
  <c r="P932" i="2"/>
  <c r="P872" i="2"/>
  <c r="P394" i="2"/>
  <c r="P562" i="2"/>
  <c r="P1421" i="2"/>
  <c r="P121" i="2"/>
  <c r="P1681" i="2"/>
  <c r="P406" i="2"/>
  <c r="P1340" i="2"/>
  <c r="P1319" i="2"/>
  <c r="P1700" i="2"/>
  <c r="P327" i="2"/>
  <c r="P1531" i="2"/>
  <c r="P977" i="2"/>
  <c r="P119" i="2"/>
  <c r="P1271" i="2"/>
  <c r="P1343" i="2"/>
  <c r="P1413" i="2"/>
  <c r="P1667" i="2"/>
  <c r="P1066" i="2"/>
  <c r="P1635" i="2"/>
  <c r="P7" i="2"/>
  <c r="P1170" i="2"/>
  <c r="P484" i="2"/>
  <c r="P1072" i="2"/>
  <c r="P1099" i="2"/>
  <c r="P1026" i="2"/>
  <c r="P433" i="2"/>
  <c r="P1313" i="2"/>
  <c r="P1286" i="2"/>
  <c r="P1044" i="2"/>
  <c r="P1139" i="2"/>
  <c r="P992" i="2"/>
  <c r="P355" i="2"/>
  <c r="P1560" i="2"/>
  <c r="P744" i="2"/>
  <c r="P1052" i="2"/>
  <c r="P1056" i="2"/>
  <c r="P1636" i="2"/>
  <c r="P785" i="2"/>
  <c r="P122" i="2"/>
  <c r="P457" i="2"/>
  <c r="P383" i="2"/>
  <c r="P1053" i="2"/>
  <c r="P374" i="2"/>
  <c r="P419" i="2"/>
  <c r="P1016" i="2"/>
  <c r="P497" i="2"/>
  <c r="P577" i="2"/>
  <c r="P1059" i="2"/>
  <c r="P1486" i="2"/>
  <c r="P939" i="2"/>
  <c r="P713" i="2"/>
  <c r="P888" i="2"/>
  <c r="P1386" i="2"/>
  <c r="P1102" i="2"/>
  <c r="P745" i="2"/>
  <c r="P352" i="2"/>
  <c r="P1431" i="2"/>
  <c r="P1387" i="2"/>
  <c r="P20" i="2"/>
  <c r="P747" i="2"/>
  <c r="P240" i="2"/>
  <c r="P537" i="2"/>
  <c r="P1583" i="2"/>
  <c r="P159" i="2"/>
  <c r="P925" i="2"/>
  <c r="P870" i="2"/>
  <c r="P858" i="2"/>
  <c r="P324" i="2"/>
  <c r="P1336" i="2"/>
  <c r="P854" i="2"/>
  <c r="P343" i="2"/>
  <c r="P607" i="2"/>
  <c r="P313" i="2"/>
  <c r="P1193" i="2"/>
  <c r="P885" i="2"/>
  <c r="P1008" i="2"/>
  <c r="P443" i="2"/>
  <c r="P984" i="2"/>
  <c r="P1172" i="2"/>
  <c r="P1347" i="2"/>
  <c r="P296" i="2"/>
  <c r="P1202" i="2"/>
  <c r="P673" i="2"/>
  <c r="P83" i="2"/>
  <c r="P1281" i="2"/>
  <c r="P1604" i="2"/>
  <c r="P486" i="2"/>
  <c r="P40" i="2"/>
  <c r="P1617" i="2"/>
  <c r="P204" i="2"/>
  <c r="P1191" i="2"/>
  <c r="P1415" i="2"/>
  <c r="P232" i="2"/>
  <c r="P901" i="2"/>
  <c r="P241" i="2"/>
  <c r="P80" i="2"/>
  <c r="P916" i="2"/>
  <c r="P697" i="2"/>
  <c r="P409" i="2"/>
  <c r="P693" i="2"/>
  <c r="P976" i="2"/>
  <c r="P1476" i="2"/>
  <c r="P755" i="2"/>
  <c r="P270" i="2"/>
  <c r="P1673" i="2"/>
  <c r="P1253" i="2"/>
  <c r="P923" i="2"/>
  <c r="P574" i="2"/>
  <c r="P396" i="2"/>
  <c r="P1050" i="2"/>
  <c r="P1465" i="2"/>
  <c r="P1728" i="2"/>
  <c r="P158" i="2"/>
  <c r="P553" i="2"/>
  <c r="P608" i="2"/>
  <c r="P166" i="2"/>
  <c r="P1344" i="2"/>
  <c r="P1142" i="2"/>
  <c r="P1641" i="2"/>
  <c r="P27" i="2"/>
  <c r="P1664" i="2"/>
  <c r="P1444" i="2"/>
  <c r="P781" i="2"/>
  <c r="P1165" i="2"/>
  <c r="P478" i="2"/>
  <c r="P764" i="2"/>
  <c r="P1346" i="2"/>
  <c r="P570" i="2"/>
  <c r="P1497" i="2"/>
  <c r="P55" i="2"/>
  <c r="P156" i="2"/>
  <c r="P819" i="2"/>
  <c r="P150" i="2"/>
  <c r="P179" i="2"/>
  <c r="P1280" i="2"/>
  <c r="P867" i="2"/>
  <c r="P831" i="2"/>
  <c r="P1699" i="2"/>
  <c r="P903" i="2"/>
  <c r="P385" i="2"/>
  <c r="P1528" i="2"/>
  <c r="P995" i="2"/>
  <c r="P1559" i="2"/>
  <c r="P142" i="2"/>
  <c r="P626" i="2"/>
  <c r="P838" i="2"/>
  <c r="P900" i="2"/>
  <c r="P384" i="2"/>
  <c r="P714" i="2"/>
  <c r="P1412" i="2"/>
  <c r="P227" i="2"/>
  <c r="P584" i="2"/>
  <c r="P173" i="2"/>
  <c r="P321" i="2"/>
  <c r="P15" i="2"/>
  <c r="P1150" i="2"/>
  <c r="P1329" i="2"/>
  <c r="P698" i="2"/>
  <c r="P869" i="2"/>
  <c r="P288" i="2"/>
  <c r="P779" i="2"/>
  <c r="P1716" i="2"/>
  <c r="P1585" i="2"/>
  <c r="P312" i="2"/>
  <c r="P519" i="2"/>
  <c r="P1436" i="2"/>
  <c r="P1550" i="2"/>
  <c r="P126" i="2"/>
  <c r="P894" i="2"/>
  <c r="P1291" i="2"/>
  <c r="P1261" i="2"/>
  <c r="P1383" i="2"/>
  <c r="P13" i="2"/>
  <c r="P1449" i="2"/>
  <c r="P44" i="2"/>
  <c r="P1601" i="2"/>
  <c r="P292" i="2"/>
  <c r="P310" i="2"/>
  <c r="P677" i="2"/>
  <c r="P1173" i="2"/>
  <c r="P1201" i="2"/>
  <c r="P534" i="2"/>
  <c r="P776" i="2"/>
  <c r="P749" i="2"/>
  <c r="P455" i="2"/>
  <c r="P1691" i="2"/>
  <c r="P651" i="2"/>
  <c r="P631" i="2"/>
  <c r="P422" i="2"/>
  <c r="P138" i="2"/>
  <c r="P1166" i="2"/>
  <c r="P582" i="2"/>
  <c r="P593" i="2"/>
  <c r="P1269" i="2"/>
  <c r="P551" i="2"/>
  <c r="P362" i="2"/>
  <c r="P622" i="2"/>
  <c r="P133" i="2"/>
  <c r="P1451" i="2"/>
  <c r="P1703" i="2"/>
  <c r="P1227" i="2"/>
  <c r="P453" i="2"/>
  <c r="P1223" i="2"/>
  <c r="P366" i="2"/>
  <c r="P1238" i="2"/>
  <c r="P1242" i="2"/>
  <c r="P456" i="2"/>
  <c r="P447" i="2"/>
  <c r="P701" i="2"/>
  <c r="P801" i="2"/>
  <c r="P1727" i="2"/>
  <c r="P946" i="2"/>
  <c r="P996" i="2"/>
  <c r="P473" i="2"/>
  <c r="P754" i="2"/>
  <c r="P1578" i="2"/>
  <c r="P211" i="2"/>
  <c r="P462" i="2"/>
  <c r="P1460" i="2"/>
  <c r="P902" i="2"/>
  <c r="P890" i="2"/>
  <c r="P983" i="2"/>
  <c r="P265" i="2"/>
  <c r="P635" i="2"/>
  <c r="P489" i="2"/>
  <c r="P648" i="2"/>
  <c r="P1532" i="2"/>
  <c r="P500" i="2"/>
  <c r="P883" i="2"/>
  <c r="P650" i="2"/>
  <c r="P1594" i="2"/>
  <c r="P1123" i="2"/>
  <c r="P141" i="2"/>
  <c r="P337" i="2"/>
  <c r="P399" i="2"/>
  <c r="P935" i="2"/>
  <c r="P221" i="2"/>
  <c r="P137" i="2"/>
  <c r="P1074" i="2"/>
  <c r="P1003" i="2"/>
  <c r="P35" i="2"/>
  <c r="P245" i="2"/>
  <c r="P1023" i="2"/>
  <c r="P999" i="2"/>
  <c r="P87" i="2"/>
  <c r="P164" i="2"/>
  <c r="P1110" i="2"/>
  <c r="P1593" i="2"/>
  <c r="P160" i="2"/>
  <c r="P1570" i="2"/>
  <c r="P1197" i="2"/>
  <c r="P435" i="2"/>
  <c r="P1684" i="2"/>
  <c r="P470" i="2"/>
  <c r="P1046" i="2"/>
  <c r="P1650" i="2"/>
  <c r="P116" i="2"/>
  <c r="P1125" i="2"/>
  <c r="P1665" i="2"/>
  <c r="P1266" i="2"/>
  <c r="P1318" i="2"/>
  <c r="P1521" i="2"/>
  <c r="P259" i="2"/>
  <c r="P437" i="2"/>
  <c r="P1508" i="2"/>
  <c r="P1063" i="2"/>
  <c r="P1606" i="2"/>
  <c r="P1624" i="2"/>
  <c r="P1301" i="2"/>
  <c r="P948" i="2"/>
  <c r="P111" i="2"/>
  <c r="P114" i="2"/>
  <c r="P1148" i="2"/>
  <c r="P1364" i="2"/>
  <c r="P1106" i="2"/>
  <c r="P1355" i="2"/>
  <c r="P11" i="2"/>
  <c r="P541" i="2"/>
  <c r="P135" i="2"/>
  <c r="P360" i="2"/>
  <c r="P808" i="2"/>
  <c r="P216" i="2"/>
  <c r="P436" i="2"/>
  <c r="P395" i="2"/>
  <c r="P264" i="2"/>
  <c r="P1410" i="2"/>
  <c r="P315" i="2"/>
  <c r="P90" i="2"/>
  <c r="P1126" i="2"/>
  <c r="P302" i="2"/>
  <c r="P1112" i="2"/>
  <c r="P347" i="2"/>
  <c r="P515" i="2"/>
  <c r="P250" i="2"/>
  <c r="P1659" i="2"/>
  <c r="P709" i="2"/>
  <c r="P1566" i="2"/>
  <c r="P1082" i="2"/>
  <c r="P1524" i="2"/>
  <c r="P487" i="2"/>
  <c r="P1613" i="2"/>
  <c r="P47" i="2"/>
  <c r="P262" i="2"/>
  <c r="P1428" i="2"/>
  <c r="P1164" i="2"/>
  <c r="P1135" i="2"/>
  <c r="P167" i="2"/>
  <c r="P1185" i="2"/>
  <c r="P967" i="2"/>
  <c r="P1408" i="2"/>
  <c r="P400" i="2"/>
  <c r="P943" i="2"/>
  <c r="P223" i="2"/>
  <c r="P1568" i="2"/>
  <c r="P803" i="2"/>
  <c r="P149" i="2"/>
  <c r="P89" i="2"/>
  <c r="P1328" i="2"/>
  <c r="P1374" i="2"/>
  <c r="P65" i="2"/>
  <c r="P1263" i="2"/>
  <c r="P1043" i="2"/>
  <c r="P267" i="2"/>
  <c r="P1567" i="2"/>
  <c r="P893" i="2"/>
  <c r="P1195" i="2"/>
  <c r="P1176" i="2"/>
  <c r="P1642" i="2"/>
  <c r="P1725" i="2"/>
  <c r="P172" i="2"/>
  <c r="P1209" i="2"/>
  <c r="P961" i="2"/>
  <c r="P335" i="2"/>
  <c r="P1124" i="2"/>
  <c r="P1206" i="2"/>
  <c r="P279" i="2"/>
  <c r="P252" i="2"/>
  <c r="P658" i="2"/>
  <c r="P410" i="2"/>
  <c r="P1131" i="2"/>
  <c r="P1255" i="2"/>
  <c r="P1349" i="2"/>
  <c r="P449" i="2"/>
  <c r="P891" i="2"/>
  <c r="P773" i="2"/>
  <c r="P783" i="2"/>
  <c r="P43" i="2"/>
  <c r="P10" i="2"/>
  <c r="P1141" i="2"/>
  <c r="P1548" i="2"/>
  <c r="P1384" i="2"/>
  <c r="P423" i="2"/>
  <c r="P502" i="2"/>
  <c r="P1199" i="2"/>
  <c r="P1404" i="2"/>
  <c r="P418" i="2"/>
  <c r="P1290" i="2"/>
  <c r="P1423" i="2"/>
  <c r="P1171" i="2"/>
  <c r="P1345" i="2"/>
  <c r="P1314" i="2"/>
  <c r="P118" i="2"/>
  <c r="P850" i="2"/>
  <c r="P1254" i="2"/>
  <c r="P103" i="2"/>
  <c r="P323" i="2"/>
  <c r="P1057" i="2"/>
  <c r="P563" i="2"/>
  <c r="P461" i="2"/>
  <c r="P1686" i="2"/>
  <c r="P1448" i="2"/>
  <c r="P485" i="2"/>
  <c r="P1695" i="2"/>
  <c r="P416" i="2"/>
  <c r="P1445" i="2"/>
  <c r="P110" i="2"/>
  <c r="P568" i="2"/>
  <c r="P1299" i="2"/>
  <c r="P401" i="2"/>
  <c r="P784" i="2"/>
  <c r="P732" i="2"/>
  <c r="P1382" i="2"/>
  <c r="P1406" i="2"/>
  <c r="P303" i="2"/>
  <c r="P1192" i="2"/>
  <c r="P1389" i="2"/>
  <c r="P314" i="2"/>
  <c r="P340" i="2"/>
  <c r="P368" i="2"/>
  <c r="P198" i="2"/>
  <c r="P1712" i="2"/>
  <c r="P1657" i="2"/>
  <c r="P358" i="2"/>
  <c r="P428" i="2"/>
  <c r="P1627" i="2"/>
  <c r="P359" i="2"/>
  <c r="P1222" i="2"/>
  <c r="P1015" i="2"/>
  <c r="P1632" i="2"/>
  <c r="P1128" i="2"/>
  <c r="P1230" i="2"/>
  <c r="P756" i="2"/>
  <c r="P1563" i="2"/>
  <c r="P543" i="2"/>
  <c r="P1676" i="2"/>
  <c r="P777" i="2"/>
  <c r="P1653" i="2"/>
  <c r="P1505" i="2"/>
  <c r="P1533" i="2"/>
  <c r="P616" i="2"/>
  <c r="P1249" i="2"/>
  <c r="P482" i="2"/>
  <c r="P1088" i="2"/>
  <c r="P215" i="2"/>
  <c r="P685" i="2"/>
  <c r="P364" i="2"/>
  <c r="P377" i="2"/>
  <c r="P618" i="2"/>
  <c r="P1103" i="2"/>
  <c r="P722" i="2"/>
  <c r="P1084" i="2"/>
  <c r="P1200" i="2"/>
  <c r="P1020" i="2"/>
  <c r="P848" i="2"/>
  <c r="P1541" i="2"/>
  <c r="P420" i="2"/>
  <c r="P85" i="2"/>
  <c r="P407" i="2"/>
  <c r="P72" i="2"/>
  <c r="P316" i="2"/>
  <c r="P392" i="2"/>
  <c r="P448" i="2"/>
  <c r="P1558" i="2"/>
  <c r="P665" i="2"/>
  <c r="P1562" i="2"/>
  <c r="P306" i="2"/>
  <c r="P375" i="2"/>
  <c r="P682" i="2"/>
  <c r="P1118" i="2"/>
  <c r="P1717" i="2"/>
  <c r="P464" i="2"/>
  <c r="P97" i="2"/>
  <c r="P958" i="2"/>
  <c r="P120" i="2"/>
  <c r="P606" i="2"/>
  <c r="P450" i="2"/>
  <c r="P835" i="2"/>
  <c r="P1051" i="2"/>
  <c r="P675" i="2"/>
  <c r="P378" i="2"/>
  <c r="P1682" i="2"/>
  <c r="P14" i="2"/>
  <c r="P1093" i="2"/>
  <c r="P67" i="2"/>
  <c r="P724" i="2"/>
  <c r="P1127" i="2"/>
  <c r="P391" i="2"/>
  <c r="P684" i="2"/>
  <c r="P317" i="2"/>
  <c r="P452" i="2"/>
  <c r="P348" i="2"/>
  <c r="P373" i="2"/>
  <c r="P107" i="2"/>
  <c r="P1109" i="2"/>
  <c r="P28" i="2"/>
  <c r="P301" i="2"/>
  <c r="P721" i="2"/>
  <c r="P46" i="2"/>
  <c r="P1071" i="2"/>
  <c r="P1481" i="2"/>
  <c r="P1092" i="2"/>
  <c r="P1239" i="2"/>
  <c r="P174" i="2"/>
  <c r="P1243" i="2"/>
  <c r="P952" i="2"/>
  <c r="P759" i="2"/>
  <c r="P405" i="2"/>
  <c r="P686" i="2"/>
  <c r="P501" i="2"/>
  <c r="P940" i="2"/>
  <c r="P1658" i="2"/>
  <c r="P1575" i="2"/>
  <c r="P380" i="2"/>
  <c r="P1680" i="2"/>
  <c r="P1091" i="2"/>
  <c r="P1041" i="2"/>
  <c r="P1095" i="2"/>
  <c r="P363" i="2"/>
  <c r="P692" i="2"/>
  <c r="P975" i="2"/>
  <c r="P372" i="2"/>
  <c r="P492" i="2"/>
  <c r="P171" i="2"/>
  <c r="P1320" i="2"/>
  <c r="P928" i="2"/>
  <c r="P1180" i="2"/>
  <c r="P733" i="2"/>
  <c r="P16" i="2"/>
  <c r="P1398" i="2"/>
  <c r="P594" i="2"/>
  <c r="P1217" i="2"/>
  <c r="P357" i="2"/>
  <c r="P681" i="2"/>
  <c r="P202" i="2"/>
  <c r="P1669" i="2"/>
  <c r="P446" i="2"/>
  <c r="P774" i="2"/>
  <c r="P520" i="2"/>
  <c r="P833" i="2"/>
  <c r="P1492" i="2"/>
  <c r="P978" i="2"/>
  <c r="P820" i="2"/>
  <c r="P417" i="2"/>
  <c r="P1549" i="2"/>
  <c r="P596" i="2"/>
  <c r="P997" i="2"/>
  <c r="P1306" i="2"/>
  <c r="P1522" i="2"/>
  <c r="P1722" i="2"/>
  <c r="P624" i="2"/>
  <c r="P1729" i="2"/>
  <c r="P821" i="2"/>
  <c r="P200" i="2"/>
  <c r="P1514" i="2"/>
  <c r="P590" i="2"/>
  <c r="P1208" i="2"/>
  <c r="P679" i="2"/>
  <c r="P772" i="2"/>
  <c r="P186" i="2"/>
  <c r="P507" i="2"/>
  <c r="P1455" i="2"/>
  <c r="P1260" i="2"/>
  <c r="P345" i="2"/>
  <c r="P768" i="2"/>
  <c r="P615" i="2"/>
  <c r="P1517" i="2"/>
  <c r="P109" i="2"/>
  <c r="P1498" i="2"/>
  <c r="P1153" i="2"/>
  <c r="P320" i="2"/>
  <c r="P554" i="2"/>
  <c r="P1630" i="2"/>
  <c r="P1506" i="2"/>
  <c r="P1671" i="2"/>
  <c r="P1295" i="2"/>
  <c r="P1157" i="2"/>
  <c r="P812" i="2"/>
  <c r="P404" i="2"/>
  <c r="P949" i="2"/>
  <c r="P82" i="2"/>
  <c r="P586" i="2"/>
  <c r="P641" i="2"/>
  <c r="P560" i="2"/>
  <c r="P490" i="2"/>
  <c r="P1205" i="2"/>
  <c r="P495" i="2"/>
  <c r="P911" i="2"/>
  <c r="P836" i="2"/>
  <c r="P604" i="2"/>
  <c r="P839" i="2"/>
  <c r="P796" i="2"/>
  <c r="P748" i="2"/>
  <c r="P566" i="2"/>
  <c r="P1000" i="2"/>
  <c r="P826" i="2"/>
  <c r="P289" i="2"/>
  <c r="P725" i="2"/>
  <c r="P308" i="2"/>
  <c r="P540" i="2"/>
  <c r="P1274" i="2"/>
  <c r="P591" i="2"/>
  <c r="P830" i="2"/>
  <c r="P1379" i="2"/>
  <c r="P790" i="2"/>
  <c r="P330" i="2"/>
  <c r="P919" i="2"/>
  <c r="P642" i="2"/>
  <c r="P338" i="2"/>
  <c r="P638" i="2"/>
  <c r="P1145" i="2"/>
  <c r="P1502" i="2"/>
  <c r="P1215" i="2"/>
  <c r="P1494" i="2"/>
  <c r="P579" i="2"/>
  <c r="P1077" i="2"/>
  <c r="P1275" i="2"/>
  <c r="P379" i="2"/>
  <c r="P1377" i="2"/>
  <c r="P723" i="2"/>
  <c r="P1580" i="2"/>
  <c r="P640" i="2"/>
  <c r="P1104" i="2"/>
  <c r="P612" i="2"/>
  <c r="P24" i="2"/>
  <c r="P132" i="2"/>
  <c r="P1403" i="2"/>
  <c r="P1482" i="2"/>
  <c r="P621" i="2"/>
  <c r="P387" i="2"/>
  <c r="P25" i="2"/>
  <c r="P868" i="2"/>
  <c r="P273" i="2"/>
  <c r="P1626" i="2"/>
  <c r="P941" i="2"/>
  <c r="P1495" i="2"/>
  <c r="P526" i="2"/>
  <c r="P508" i="2"/>
  <c r="P271" i="2"/>
  <c r="P915" i="2"/>
  <c r="P1648" i="2"/>
  <c r="P843" i="2"/>
  <c r="P465" i="2"/>
  <c r="P300" i="2"/>
  <c r="P898" i="2"/>
  <c r="P1134" i="2"/>
  <c r="P1311" i="2"/>
  <c r="P402" i="2"/>
  <c r="P1689" i="2"/>
  <c r="P344" i="2"/>
  <c r="P1186" i="2"/>
  <c r="P1317" i="2"/>
  <c r="P1420" i="2"/>
  <c r="P1500" i="2"/>
  <c r="P1446" i="2"/>
  <c r="P617" i="2"/>
  <c r="P386" i="2"/>
  <c r="P298" i="2"/>
  <c r="P369" i="2"/>
  <c r="P1692" i="2"/>
  <c r="P1721" i="2"/>
  <c r="P545" i="2"/>
  <c r="P828" i="2"/>
  <c r="P1038" i="2"/>
  <c r="P311" i="2"/>
  <c r="P1399" i="2"/>
  <c r="P985" i="2"/>
  <c r="P643" i="2"/>
  <c r="P1154" i="2"/>
  <c r="P196" i="2"/>
  <c r="P712" i="2"/>
  <c r="P825" i="2"/>
  <c r="P108" i="2"/>
  <c r="P1146" i="2"/>
  <c r="P1468" i="2"/>
  <c r="P268" i="2"/>
  <c r="P811" i="2"/>
  <c r="P1339" i="2"/>
  <c r="P770" i="2"/>
  <c r="P1565" i="2"/>
  <c r="P505" i="2"/>
  <c r="P261" i="2"/>
  <c r="P1144" i="2"/>
  <c r="P1228" i="2"/>
  <c r="P361" i="2"/>
  <c r="P841" i="2"/>
  <c r="P1225" i="2"/>
  <c r="P758" i="2"/>
  <c r="P307" i="2"/>
  <c r="P1467" i="2"/>
  <c r="P912" i="2"/>
  <c r="P1564" i="2"/>
  <c r="P1062" i="2"/>
  <c r="P1473" i="2"/>
  <c r="P804" i="2"/>
  <c r="P26" i="2"/>
  <c r="P102" i="2"/>
  <c r="P51" i="2"/>
  <c r="P91" i="2"/>
  <c r="P639" i="2"/>
  <c r="P356" i="2"/>
  <c r="P230" i="2"/>
  <c r="P719" i="2"/>
  <c r="P1668" i="2"/>
  <c r="P475" i="2"/>
  <c r="P291" i="2"/>
  <c r="P614" i="2"/>
  <c r="P197" i="2"/>
  <c r="P152" i="2"/>
  <c r="P664" i="2"/>
  <c r="P742" i="2"/>
  <c r="P623" i="2"/>
  <c r="P125" i="2"/>
  <c r="P974" i="2"/>
  <c r="P1034" i="2"/>
  <c r="P1694" i="2"/>
  <c r="P1183" i="2"/>
  <c r="P304" i="2"/>
  <c r="P92" i="2"/>
  <c r="P506" i="2"/>
  <c r="P151" i="2"/>
  <c r="P1535" i="2"/>
  <c r="P695" i="2"/>
  <c r="P249" i="2"/>
  <c r="P1214" i="2"/>
  <c r="P655" i="2"/>
  <c r="P1651" i="2"/>
  <c r="P571" i="2"/>
  <c r="P1707" i="2"/>
  <c r="P767" i="2"/>
  <c r="P1284" i="2"/>
  <c r="P30" i="2"/>
  <c r="P1414" i="2"/>
  <c r="P1433" i="2"/>
  <c r="P6" i="2"/>
  <c r="P1536" i="2"/>
  <c r="P569" i="2"/>
  <c r="P738" i="2"/>
  <c r="P892" i="2"/>
  <c r="P971" i="2"/>
  <c r="P619" i="2"/>
  <c r="P873" i="2"/>
  <c r="P1087" i="2"/>
  <c r="P1117" i="2"/>
  <c r="P398" i="2"/>
  <c r="P1573" i="2"/>
  <c r="P463" i="2"/>
  <c r="P605" i="2"/>
  <c r="P1078" i="2"/>
  <c r="P1576" i="2"/>
  <c r="P334" i="2"/>
  <c r="P96" i="2"/>
  <c r="P634" i="2"/>
  <c r="P922" i="2"/>
  <c r="P480" i="2"/>
  <c r="P523" i="2"/>
  <c r="P769" i="2"/>
  <c r="P1704" i="2"/>
  <c r="P349" i="2"/>
  <c r="P1219" i="2"/>
  <c r="P736" i="2"/>
  <c r="P581" i="2"/>
  <c r="P578" i="2"/>
  <c r="P786" i="2"/>
  <c r="P1357" i="2"/>
  <c r="P962" i="2"/>
  <c r="P728" i="2"/>
  <c r="P629" i="2"/>
  <c r="P953" i="2"/>
  <c r="P896" i="2"/>
  <c r="P531" i="2"/>
  <c r="P798" i="2"/>
  <c r="P21" i="2"/>
  <c r="P381" i="2"/>
  <c r="P424" i="2"/>
  <c r="P761" i="2"/>
  <c r="P370" i="2"/>
  <c r="P1395" i="2"/>
  <c r="P295" i="2"/>
  <c r="P488" i="2"/>
  <c r="P718" i="2"/>
  <c r="P1579" i="2"/>
  <c r="P1024" i="2"/>
  <c r="P576" i="2"/>
  <c r="P472" i="2"/>
  <c r="P1429" i="2"/>
  <c r="P1264" i="2"/>
  <c r="P1475" i="2"/>
  <c r="P929" i="2"/>
  <c r="P1152" i="2"/>
  <c r="P442" i="2"/>
  <c r="P544" i="2"/>
  <c r="P1469" i="2"/>
  <c r="P1660" i="2"/>
  <c r="P813" i="2"/>
  <c r="P827" i="2"/>
  <c r="P100" i="2"/>
  <c r="P1690" i="2"/>
  <c r="P829" i="2"/>
  <c r="P1181" i="2"/>
  <c r="P1107" i="2"/>
  <c r="P143" i="2"/>
  <c r="P438" i="2"/>
  <c r="P1089" i="2"/>
  <c r="P1457" i="2"/>
  <c r="P466" i="2"/>
  <c r="P1029" i="2"/>
  <c r="P1207" i="2"/>
  <c r="P49" i="2"/>
  <c r="P1234" i="2"/>
  <c r="P1484" i="2"/>
  <c r="P1352" i="2"/>
  <c r="P653" i="2"/>
  <c r="P331" i="2"/>
  <c r="P700" i="2"/>
  <c r="P1620" i="2"/>
  <c r="P917" i="2"/>
  <c r="P1530" i="2"/>
  <c r="P145" i="2"/>
  <c r="P353" i="2"/>
  <c r="P1094" i="2"/>
  <c r="P153" i="2"/>
  <c r="P905" i="2"/>
  <c r="P434" i="2"/>
  <c r="P1120" i="2"/>
  <c r="P451" i="2"/>
  <c r="P1432" i="2"/>
  <c r="P1179" i="2"/>
  <c r="P818" i="2"/>
  <c r="P683" i="2"/>
  <c r="P1464" i="2"/>
  <c r="P1203" i="2"/>
  <c r="P1076" i="2"/>
  <c r="P887" i="2"/>
  <c r="P1400" i="2"/>
  <c r="P1012" i="2"/>
  <c r="P70" i="2"/>
  <c r="P637" i="2"/>
  <c r="P1058" i="2"/>
  <c r="P129" i="2"/>
  <c r="P1121" i="2"/>
  <c r="P846" i="2"/>
  <c r="P213" i="2"/>
  <c r="P1293" i="2"/>
  <c r="P895" i="2"/>
  <c r="P805" i="2"/>
  <c r="P272" i="2"/>
  <c r="P389" i="2"/>
  <c r="P817" i="2"/>
  <c r="P924" i="2"/>
  <c r="P814" i="2"/>
  <c r="P1334" i="2"/>
  <c r="P1496" i="2"/>
  <c r="P964" i="2"/>
  <c r="P791" i="2"/>
  <c r="P806" i="2"/>
  <c r="P824" i="2"/>
  <c r="P1040" i="2"/>
  <c r="P1273" i="2"/>
  <c r="P1561" i="2"/>
  <c r="P1143" i="2"/>
  <c r="P823" i="2"/>
  <c r="P691" i="2"/>
  <c r="P205" i="2"/>
  <c r="P105" i="2"/>
  <c r="P1391" i="2"/>
  <c r="P494" i="2"/>
  <c r="P904" i="2"/>
  <c r="P1272" i="2"/>
  <c r="P22" i="2"/>
  <c r="P286" i="2"/>
  <c r="P408" i="2"/>
  <c r="P277" i="2"/>
  <c r="P1719" i="2"/>
  <c r="P980" i="2"/>
  <c r="P68" i="2"/>
  <c r="P1045" i="2"/>
  <c r="P1720" i="2"/>
  <c r="P209" i="2"/>
  <c r="P309" i="2"/>
  <c r="P799" i="2"/>
  <c r="P210" i="2"/>
  <c r="P346" i="2"/>
  <c r="P611" i="2"/>
  <c r="P866" i="2"/>
  <c r="P942" i="2"/>
  <c r="P1409" i="2"/>
  <c r="P853" i="2"/>
  <c r="P376" i="2"/>
  <c r="P1547" i="2"/>
  <c r="P539" i="2"/>
  <c r="P1283" i="2"/>
  <c r="P668" i="2"/>
  <c r="P731" i="2"/>
  <c r="P178" i="2"/>
  <c r="P1723" i="2"/>
  <c r="P1489" i="2"/>
  <c r="P128" i="2"/>
  <c r="P1633" i="2"/>
  <c r="P1612" i="2"/>
  <c r="P750" i="2"/>
  <c r="P720" i="2"/>
  <c r="P1472" i="2"/>
  <c r="P908" i="2"/>
  <c r="P1326" i="2"/>
  <c r="P190" i="2"/>
  <c r="P856" i="2"/>
  <c r="P862" i="2"/>
  <c r="P625" i="2"/>
  <c r="P1640" i="2"/>
  <c r="P1553" i="2"/>
  <c r="P800" i="2"/>
  <c r="P1507" i="2"/>
  <c r="P1656" i="2"/>
  <c r="P815" i="2"/>
  <c r="P42" i="2"/>
  <c r="P1430" i="2"/>
  <c r="P603" i="2"/>
  <c r="P1262" i="2"/>
  <c r="P1218" i="2"/>
  <c r="P1204" i="2"/>
  <c r="P921" i="2"/>
  <c r="P516" i="2"/>
  <c r="P154" i="2"/>
  <c r="P1138" i="2"/>
  <c r="P371" i="2"/>
  <c r="P694" i="2"/>
  <c r="P1033" i="2"/>
  <c r="P1182" i="2"/>
  <c r="P388" i="2"/>
  <c r="P556" i="2"/>
  <c r="P988" i="2"/>
  <c r="P1516" i="2"/>
  <c r="P332" i="2"/>
  <c r="P1537" i="2"/>
  <c r="P1525" i="2"/>
  <c r="P263" i="2"/>
  <c r="P1211" i="2"/>
  <c r="P807" i="2"/>
  <c r="P163" i="2"/>
  <c r="P716" i="2"/>
  <c r="P206" i="2"/>
  <c r="P636" i="2"/>
  <c r="P329" i="2"/>
  <c r="P1177" i="2"/>
  <c r="P1248" i="2"/>
  <c r="P752" i="2"/>
  <c r="P269" i="2"/>
  <c r="P782" i="2"/>
  <c r="P654" i="2"/>
  <c r="P479" i="2"/>
  <c r="P1035" i="2"/>
  <c r="P809" i="2"/>
  <c r="P1647" i="2"/>
  <c r="P851" i="2"/>
  <c r="P787" i="2"/>
  <c r="P183" i="2"/>
  <c r="P628" i="2"/>
  <c r="P1726" i="2"/>
  <c r="P201" i="2"/>
  <c r="P834" i="2"/>
  <c r="P393" i="2"/>
  <c r="P222" i="2"/>
  <c r="P256" i="2"/>
  <c r="P595" i="2"/>
  <c r="P847" i="2"/>
  <c r="P1672" i="2"/>
  <c r="P627" i="2"/>
  <c r="P1616" i="2"/>
  <c r="P115" i="2"/>
  <c r="P751" i="2"/>
  <c r="P106" i="2"/>
  <c r="P168" i="2"/>
  <c r="P558" i="2"/>
  <c r="P1356" i="2"/>
  <c r="P1587" i="2"/>
  <c r="P1330" i="2"/>
  <c r="P1348" i="2"/>
  <c r="P493" i="2"/>
  <c r="P1359" i="2"/>
  <c r="P1279" i="2"/>
  <c r="P1167" i="2"/>
  <c r="P1556" i="2"/>
  <c r="P933" i="2"/>
  <c r="P944" i="2"/>
  <c r="P1332" i="2"/>
  <c r="P1519" i="2"/>
  <c r="P297" i="2"/>
  <c r="P3" i="2"/>
  <c r="P1479" i="2"/>
  <c r="P23" i="2"/>
  <c r="P1592" i="2"/>
  <c r="P771" i="2"/>
  <c r="P555" i="2"/>
  <c r="P36" i="2"/>
  <c r="P1611" i="2"/>
  <c r="P1491" i="2"/>
  <c r="P955" i="2"/>
  <c r="P794" i="2"/>
  <c r="P753" i="2"/>
  <c r="P299" i="2"/>
  <c r="P1083" i="2"/>
  <c r="P1036" i="2"/>
  <c r="P439" i="2"/>
  <c r="P1706" i="2"/>
  <c r="P1276" i="2"/>
  <c r="P1493" i="2"/>
  <c r="P1055" i="2"/>
  <c r="P155" i="2"/>
  <c r="P717" i="2"/>
  <c r="P1031" i="2"/>
  <c r="P816" i="2"/>
  <c r="P1130" i="2"/>
  <c r="P284" i="2"/>
  <c r="P702" i="2"/>
  <c r="P726" i="2"/>
  <c r="P1605" i="2"/>
  <c r="P763" i="2"/>
  <c r="P275" i="2"/>
  <c r="P367" i="2"/>
  <c r="P687" i="2"/>
  <c r="P1397" i="2"/>
  <c r="P613" i="2"/>
  <c r="P557" i="2"/>
  <c r="P652" i="2"/>
  <c r="P1338" i="2"/>
  <c r="P1546" i="2"/>
  <c r="P64" i="2"/>
  <c r="P739" i="2"/>
  <c r="P1019" i="2"/>
  <c r="P233" i="2"/>
  <c r="P960" i="2"/>
  <c r="P1652" i="2"/>
  <c r="P1175" i="2"/>
  <c r="P483" i="2"/>
  <c r="P1378" i="2"/>
  <c r="P1061" i="2"/>
  <c r="P1278" i="2"/>
  <c r="P229" i="2"/>
  <c r="P832" i="2"/>
  <c r="P1513" i="2"/>
  <c r="P1554" i="2"/>
  <c r="P797" i="2"/>
  <c r="P1039" i="2"/>
  <c r="P75" i="2"/>
  <c r="P886" i="2"/>
  <c r="P1322" i="2"/>
  <c r="P290" i="2"/>
  <c r="P730" i="2"/>
  <c r="P620" i="2"/>
  <c r="P950" i="2"/>
  <c r="P737" i="2"/>
  <c r="P1509" i="2"/>
  <c r="P837" i="2"/>
  <c r="P1610" i="2"/>
  <c r="P989" i="2"/>
  <c r="P1419" i="2"/>
  <c r="P1037" i="2"/>
  <c r="P1440" i="2"/>
  <c r="P1090" i="2"/>
  <c r="P1670" i="2"/>
  <c r="P910" i="2"/>
  <c r="P390" i="2"/>
  <c r="P521" i="2"/>
  <c r="P1591" i="2"/>
  <c r="P610" i="2"/>
  <c r="P959" i="2"/>
  <c r="P365" i="2"/>
  <c r="P1551" i="2"/>
  <c r="P1100" i="2"/>
  <c r="P1101" i="2"/>
  <c r="P1241" i="2"/>
  <c r="P276" i="2"/>
  <c r="P671" i="2"/>
  <c r="L1731" i="2" l="1"/>
  <c r="O1731" i="2"/>
  <c r="P1731" i="2" s="1"/>
  <c r="P1645" i="2"/>
</calcChain>
</file>

<file path=xl/sharedStrings.xml><?xml version="1.0" encoding="utf-8"?>
<sst xmlns="http://schemas.openxmlformats.org/spreadsheetml/2006/main" count="11762" uniqueCount="3381">
  <si>
    <t>Local Education Agency Name</t>
  </si>
  <si>
    <t>Org Type</t>
  </si>
  <si>
    <t>IRN</t>
  </si>
  <si>
    <t>000131</t>
  </si>
  <si>
    <t>Glass City Academy</t>
  </si>
  <si>
    <t>000139</t>
  </si>
  <si>
    <t>000222</t>
  </si>
  <si>
    <t>Wildwood Environmental Academy</t>
  </si>
  <si>
    <t>000236</t>
  </si>
  <si>
    <t>Ohio Connections Academy, Inc</t>
  </si>
  <si>
    <t>000241</t>
  </si>
  <si>
    <t>Quaker Digital Academy</t>
  </si>
  <si>
    <t>000282</t>
  </si>
  <si>
    <t>Greater Ohio Virtual School</t>
  </si>
  <si>
    <t>000288</t>
  </si>
  <si>
    <t>Auglaize County Educational Academy</t>
  </si>
  <si>
    <t>000296</t>
  </si>
  <si>
    <t>Summit Academy Community School-Columbus</t>
  </si>
  <si>
    <t>000297</t>
  </si>
  <si>
    <t>Summit Academy Community School - Dayton</t>
  </si>
  <si>
    <t>000298</t>
  </si>
  <si>
    <t>Summit Academy Secondary - Akron</t>
  </si>
  <si>
    <t>000300</t>
  </si>
  <si>
    <t>Summit Academy Secondary - Canton</t>
  </si>
  <si>
    <t>000301</t>
  </si>
  <si>
    <t>000302</t>
  </si>
  <si>
    <t>Summit Academy Community School-Parma</t>
  </si>
  <si>
    <t>000303</t>
  </si>
  <si>
    <t>Summit Academy Secondary - Youngstown</t>
  </si>
  <si>
    <t>000305</t>
  </si>
  <si>
    <t>000306</t>
  </si>
  <si>
    <t>Summit Academy Community School - Cincinnati</t>
  </si>
  <si>
    <t>000311</t>
  </si>
  <si>
    <t>Bridges Community Academy</t>
  </si>
  <si>
    <t>000316</t>
  </si>
  <si>
    <t>Constellation Schools: Westpark Community Middle</t>
  </si>
  <si>
    <t>000318</t>
  </si>
  <si>
    <t>Menlo Park Academy</t>
  </si>
  <si>
    <t>000319</t>
  </si>
  <si>
    <t>Constellation Schools: Madison Community Elementary</t>
  </si>
  <si>
    <t>000320</t>
  </si>
  <si>
    <t>Constellation Schools: Lorain Community Middle</t>
  </si>
  <si>
    <t>000321</t>
  </si>
  <si>
    <t>Constellation Schools: Old Brooklyn Community Middle</t>
  </si>
  <si>
    <t>000338</t>
  </si>
  <si>
    <t>Horizon Science Academy Toledo</t>
  </si>
  <si>
    <t>000402</t>
  </si>
  <si>
    <t>Findlay Digital Academy</t>
  </si>
  <si>
    <t>000417</t>
  </si>
  <si>
    <t>000509</t>
  </si>
  <si>
    <t>000510</t>
  </si>
  <si>
    <t>000511</t>
  </si>
  <si>
    <t>000525</t>
  </si>
  <si>
    <t>Canton Harbor High School</t>
  </si>
  <si>
    <t>000527</t>
  </si>
  <si>
    <t>000534</t>
  </si>
  <si>
    <t>Constellation Schools: Puritas Community Middle</t>
  </si>
  <si>
    <t>000543</t>
  </si>
  <si>
    <t>Pinnacle Academy</t>
  </si>
  <si>
    <t>000546</t>
  </si>
  <si>
    <t>Winterfield Venture Academy</t>
  </si>
  <si>
    <t>000553</t>
  </si>
  <si>
    <t>000556</t>
  </si>
  <si>
    <t>A+ Arts Academy</t>
  </si>
  <si>
    <t>000557</t>
  </si>
  <si>
    <t>Columbus Arts &amp; Technology Academy</t>
  </si>
  <si>
    <t>000558</t>
  </si>
  <si>
    <t>Columbus Preparatory Academy</t>
  </si>
  <si>
    <t>000559</t>
  </si>
  <si>
    <t>Orion Academy</t>
  </si>
  <si>
    <t>000560</t>
  </si>
  <si>
    <t>Apex Academy</t>
  </si>
  <si>
    <t>000575</t>
  </si>
  <si>
    <t>Hope Academy Northwest Campus</t>
  </si>
  <si>
    <t>000576</t>
  </si>
  <si>
    <t>King Academy Community School</t>
  </si>
  <si>
    <t>000577</t>
  </si>
  <si>
    <t>000608</t>
  </si>
  <si>
    <t>Summit Academy Transition High School-Cincinnati</t>
  </si>
  <si>
    <t>000609</t>
  </si>
  <si>
    <t>000610</t>
  </si>
  <si>
    <t>Summit Academy Middle School - Columbus</t>
  </si>
  <si>
    <t>000613</t>
  </si>
  <si>
    <t>Heir Force Community School</t>
  </si>
  <si>
    <t>000614</t>
  </si>
  <si>
    <t>Summit Academy Transition High School-Columbus</t>
  </si>
  <si>
    <t>000616</t>
  </si>
  <si>
    <t>000621</t>
  </si>
  <si>
    <t>Summit Academy Transition High School Dayton</t>
  </si>
  <si>
    <t>000623</t>
  </si>
  <si>
    <t>Summit Academy-Youngstown</t>
  </si>
  <si>
    <t>000629</t>
  </si>
  <si>
    <t>Summit Academy Community School - Painesville</t>
  </si>
  <si>
    <t>000634</t>
  </si>
  <si>
    <t>Summit Academy Secondary School - Middletown</t>
  </si>
  <si>
    <t>000640</t>
  </si>
  <si>
    <t>Rittman Academy</t>
  </si>
  <si>
    <t>000664</t>
  </si>
  <si>
    <t>000679</t>
  </si>
  <si>
    <t>Oakstone Community School</t>
  </si>
  <si>
    <t>000725</t>
  </si>
  <si>
    <t>Zenith Academy</t>
  </si>
  <si>
    <t>000736</t>
  </si>
  <si>
    <t>000770</t>
  </si>
  <si>
    <t>000779</t>
  </si>
  <si>
    <t>000780</t>
  </si>
  <si>
    <t>Midnimo Cross Cultural Community School</t>
  </si>
  <si>
    <t>000804</t>
  </si>
  <si>
    <t>Horizon Science Academy-Cincinnati</t>
  </si>
  <si>
    <t>000808</t>
  </si>
  <si>
    <t>Horizon Science Academy-Dayton</t>
  </si>
  <si>
    <t>000813</t>
  </si>
  <si>
    <t>000825</t>
  </si>
  <si>
    <t>Horizon Science Academy-Springfield</t>
  </si>
  <si>
    <t>000838</t>
  </si>
  <si>
    <t>Horizon Science Academy-Denison Middle School</t>
  </si>
  <si>
    <t>000843</t>
  </si>
  <si>
    <t>Bennett Venture Academy</t>
  </si>
  <si>
    <t>000855</t>
  </si>
  <si>
    <t>Stambaugh Charter Academy</t>
  </si>
  <si>
    <t>000858</t>
  </si>
  <si>
    <t>Horizon Science Academy-Cleveland Middle School</t>
  </si>
  <si>
    <t>000875</t>
  </si>
  <si>
    <t>Westside Academy</t>
  </si>
  <si>
    <t>000905</t>
  </si>
  <si>
    <t>000912</t>
  </si>
  <si>
    <t>Early College Academy</t>
  </si>
  <si>
    <t>000936</t>
  </si>
  <si>
    <t>Promise Academy</t>
  </si>
  <si>
    <t>000938</t>
  </si>
  <si>
    <t>000941</t>
  </si>
  <si>
    <t>Par Excellence Academy</t>
  </si>
  <si>
    <t>000951</t>
  </si>
  <si>
    <t>000952</t>
  </si>
  <si>
    <t>000953</t>
  </si>
  <si>
    <t>007984</t>
  </si>
  <si>
    <t>007995</t>
  </si>
  <si>
    <t>007999</t>
  </si>
  <si>
    <t>008000</t>
  </si>
  <si>
    <t>Lorain Preparatory Academy</t>
  </si>
  <si>
    <t>008063</t>
  </si>
  <si>
    <t>008064</t>
  </si>
  <si>
    <t>008278</t>
  </si>
  <si>
    <t>Noble Academy-Cleveland</t>
  </si>
  <si>
    <t>008280</t>
  </si>
  <si>
    <t>Noble Academy-Columbus</t>
  </si>
  <si>
    <t>008281</t>
  </si>
  <si>
    <t>South Scioto Academy</t>
  </si>
  <si>
    <t>008282</t>
  </si>
  <si>
    <t>008283</t>
  </si>
  <si>
    <t>Dayton Business Technology High School</t>
  </si>
  <si>
    <t>008286</t>
  </si>
  <si>
    <t>Harvard Avenue Performance Academy</t>
  </si>
  <si>
    <t>008287</t>
  </si>
  <si>
    <t>Groveport Community School</t>
  </si>
  <si>
    <t>008289</t>
  </si>
  <si>
    <t>Eagle Learning Center</t>
  </si>
  <si>
    <t>009122</t>
  </si>
  <si>
    <t>Columbus Collegiate Academy</t>
  </si>
  <si>
    <t>009148</t>
  </si>
  <si>
    <t>Zanesville Community School</t>
  </si>
  <si>
    <t>009149</t>
  </si>
  <si>
    <t>009164</t>
  </si>
  <si>
    <t>009179</t>
  </si>
  <si>
    <t>Horizon Science Academy Columbus Middle School</t>
  </si>
  <si>
    <t>009192</t>
  </si>
  <si>
    <t>Foundation Academy</t>
  </si>
  <si>
    <t>009283</t>
  </si>
  <si>
    <t>Dayton Early College Academy, Inc</t>
  </si>
  <si>
    <t>009953</t>
  </si>
  <si>
    <t>Sullivant Avenue Community School</t>
  </si>
  <si>
    <t>009955</t>
  </si>
  <si>
    <t>009957</t>
  </si>
  <si>
    <t>Klepinger Community School</t>
  </si>
  <si>
    <t>009971</t>
  </si>
  <si>
    <t>Ashland County Community Academy</t>
  </si>
  <si>
    <t>009990</t>
  </si>
  <si>
    <t>Horizon Science Academy Elementary School</t>
  </si>
  <si>
    <t>009996</t>
  </si>
  <si>
    <t>Mahoning County High School</t>
  </si>
  <si>
    <t>009997</t>
  </si>
  <si>
    <t>010036</t>
  </si>
  <si>
    <t>Cesar Chavez College Preparatory School</t>
  </si>
  <si>
    <t>010182</t>
  </si>
  <si>
    <t>Performance Academy Eastland</t>
  </si>
  <si>
    <t>010205</t>
  </si>
  <si>
    <t>011291</t>
  </si>
  <si>
    <t>Village Preparatory School</t>
  </si>
  <si>
    <t>011324</t>
  </si>
  <si>
    <t>Hardin Community School</t>
  </si>
  <si>
    <t>011381</t>
  </si>
  <si>
    <t>Greater Summit County Early Learning Center</t>
  </si>
  <si>
    <t>011390</t>
  </si>
  <si>
    <t>011439</t>
  </si>
  <si>
    <t>Renaissance Academy</t>
  </si>
  <si>
    <t>011468</t>
  </si>
  <si>
    <t>Columbus Bilingual Academy-North</t>
  </si>
  <si>
    <t>011507</t>
  </si>
  <si>
    <t>Achieve Career Preparatory Academy</t>
  </si>
  <si>
    <t>011511</t>
  </si>
  <si>
    <t>Lakeland Academy Community School</t>
  </si>
  <si>
    <t>011533</t>
  </si>
  <si>
    <t>Horizon Science Academy Lorain</t>
  </si>
  <si>
    <t>011534</t>
  </si>
  <si>
    <t>Horizon Science Academy Dayton High School</t>
  </si>
  <si>
    <t>011923</t>
  </si>
  <si>
    <t>Northeast Ohio College Preparatory School</t>
  </si>
  <si>
    <t>011947</t>
  </si>
  <si>
    <t>Imagine Akron Academy</t>
  </si>
  <si>
    <t>011956</t>
  </si>
  <si>
    <t>Everest High School</t>
  </si>
  <si>
    <t>011967</t>
  </si>
  <si>
    <t>011972</t>
  </si>
  <si>
    <t>011976</t>
  </si>
  <si>
    <t>011986</t>
  </si>
  <si>
    <t>Horizon Science Academy Youngstown</t>
  </si>
  <si>
    <t>012009</t>
  </si>
  <si>
    <t>Zenith Academy East</t>
  </si>
  <si>
    <t>012010</t>
  </si>
  <si>
    <t>Cleveland College Preparatory School</t>
  </si>
  <si>
    <t>012011</t>
  </si>
  <si>
    <t>Columbus Performance Academy</t>
  </si>
  <si>
    <t>012025</t>
  </si>
  <si>
    <t>Constellation Schools: Stockyard Community Middle</t>
  </si>
  <si>
    <t>012029</t>
  </si>
  <si>
    <t>Citizens Leadership Academy</t>
  </si>
  <si>
    <t>012030</t>
  </si>
  <si>
    <t>Near West Intergenerational School</t>
  </si>
  <si>
    <t>012033</t>
  </si>
  <si>
    <t>Foxfire Intermediate School</t>
  </si>
  <si>
    <t>012036</t>
  </si>
  <si>
    <t>Regent High School</t>
  </si>
  <si>
    <t>012037</t>
  </si>
  <si>
    <t>Mason Run High School</t>
  </si>
  <si>
    <t>012038</t>
  </si>
  <si>
    <t>Old Brook High School</t>
  </si>
  <si>
    <t>012040</t>
  </si>
  <si>
    <t>012041</t>
  </si>
  <si>
    <t>Central High School</t>
  </si>
  <si>
    <t>012043</t>
  </si>
  <si>
    <t>012044</t>
  </si>
  <si>
    <t>Capital High School</t>
  </si>
  <si>
    <t>012045</t>
  </si>
  <si>
    <t>Patriot Preparatory Academy</t>
  </si>
  <si>
    <t>012054</t>
  </si>
  <si>
    <t>012060</t>
  </si>
  <si>
    <t>Akros Middle School</t>
  </si>
  <si>
    <t>012105</t>
  </si>
  <si>
    <t>Southside Academy</t>
  </si>
  <si>
    <t>012501</t>
  </si>
  <si>
    <t>Beacon Hill Academy</t>
  </si>
  <si>
    <t>012528</t>
  </si>
  <si>
    <t>012529</t>
  </si>
  <si>
    <t>Focus North High School</t>
  </si>
  <si>
    <t>012541</t>
  </si>
  <si>
    <t>012558</t>
  </si>
  <si>
    <t>Global Village Academy</t>
  </si>
  <si>
    <t>012627</t>
  </si>
  <si>
    <t>012644</t>
  </si>
  <si>
    <t>012671</t>
  </si>
  <si>
    <t>Constellation Schools: Eastside Arts Academy</t>
  </si>
  <si>
    <t>012684</t>
  </si>
  <si>
    <t>Broadway Academy</t>
  </si>
  <si>
    <t>012867</t>
  </si>
  <si>
    <t>Townsend North Community School</t>
  </si>
  <si>
    <t>012924</t>
  </si>
  <si>
    <t>012951</t>
  </si>
  <si>
    <t>Columbus Collegiate Academy - West</t>
  </si>
  <si>
    <t>013034</t>
  </si>
  <si>
    <t>Village Preparatory School:: Woodland Hills Campus</t>
  </si>
  <si>
    <t>013132</t>
  </si>
  <si>
    <t>Lake Erie College Preparatory School</t>
  </si>
  <si>
    <t>013147</t>
  </si>
  <si>
    <t>013148</t>
  </si>
  <si>
    <t>Stepstone Academy</t>
  </si>
  <si>
    <t>013170</t>
  </si>
  <si>
    <t>013173</t>
  </si>
  <si>
    <t>Imagine Hill Avenue</t>
  </si>
  <si>
    <t>013175</t>
  </si>
  <si>
    <t>013195</t>
  </si>
  <si>
    <t>013199</t>
  </si>
  <si>
    <t>013232</t>
  </si>
  <si>
    <t>013249</t>
  </si>
  <si>
    <t>013253</t>
  </si>
  <si>
    <t>Ohio College Preparatory School</t>
  </si>
  <si>
    <t>013254</t>
  </si>
  <si>
    <t>Akron Preparatory School</t>
  </si>
  <si>
    <t>013255</t>
  </si>
  <si>
    <t>Canton College Preparatory School</t>
  </si>
  <si>
    <t>013864</t>
  </si>
  <si>
    <t>Cincinnati Technology Academy</t>
  </si>
  <si>
    <t>013962</t>
  </si>
  <si>
    <t>Liberty Preparatory School</t>
  </si>
  <si>
    <t>013994</t>
  </si>
  <si>
    <t>013999</t>
  </si>
  <si>
    <t>Rise &amp; Shine Academy</t>
  </si>
  <si>
    <t>014065</t>
  </si>
  <si>
    <t>Lincoln Park Academy</t>
  </si>
  <si>
    <t>014066</t>
  </si>
  <si>
    <t>014067</t>
  </si>
  <si>
    <t>Ohio Construction Academy</t>
  </si>
  <si>
    <t>014090</t>
  </si>
  <si>
    <t>014091</t>
  </si>
  <si>
    <t>014121</t>
  </si>
  <si>
    <t>Imagine Leadership Academy</t>
  </si>
  <si>
    <t>014139</t>
  </si>
  <si>
    <t>Imagine Columbus Primary School</t>
  </si>
  <si>
    <t>014147</t>
  </si>
  <si>
    <t>East Preparatory Academy</t>
  </si>
  <si>
    <t>014149</t>
  </si>
  <si>
    <t>014187</t>
  </si>
  <si>
    <t>East Academy</t>
  </si>
  <si>
    <t>014188</t>
  </si>
  <si>
    <t>Discovery Academy</t>
  </si>
  <si>
    <t>014189</t>
  </si>
  <si>
    <t>West Park Academy</t>
  </si>
  <si>
    <t>014467</t>
  </si>
  <si>
    <t>United Preparatory Academy</t>
  </si>
  <si>
    <t>014904</t>
  </si>
  <si>
    <t>T2 Honors Academy</t>
  </si>
  <si>
    <t>014913</t>
  </si>
  <si>
    <t>Lakeshore Intergenerational School</t>
  </si>
  <si>
    <t>014927</t>
  </si>
  <si>
    <t>Steel Academy</t>
  </si>
  <si>
    <t>132746</t>
  </si>
  <si>
    <t>132761</t>
  </si>
  <si>
    <t>Summit Academy Community School Alternative Learners -Xenia</t>
  </si>
  <si>
    <t>132779</t>
  </si>
  <si>
    <t>Summit Academy Akron Middle School</t>
  </si>
  <si>
    <t>132795</t>
  </si>
  <si>
    <t>Cliff Park High School</t>
  </si>
  <si>
    <t>132803</t>
  </si>
  <si>
    <t>Marshall High School</t>
  </si>
  <si>
    <t>132944</t>
  </si>
  <si>
    <t>Miami Valley Academies</t>
  </si>
  <si>
    <t>132951</t>
  </si>
  <si>
    <t>Constellation Schools: Lorain Community Elementary</t>
  </si>
  <si>
    <t>132969</t>
  </si>
  <si>
    <t>Constellation Schools: Elyria Community</t>
  </si>
  <si>
    <t>132985</t>
  </si>
  <si>
    <t>132993</t>
  </si>
  <si>
    <t>Constellation Schools: Westpark Community Elementary</t>
  </si>
  <si>
    <t>133215</t>
  </si>
  <si>
    <t>Intergenerational School, The</t>
  </si>
  <si>
    <t>133256</t>
  </si>
  <si>
    <t>Constellation Schools: Parma Community</t>
  </si>
  <si>
    <t>133264</t>
  </si>
  <si>
    <t>Dohn Community</t>
  </si>
  <si>
    <t>133280</t>
  </si>
  <si>
    <t>Washington Park Community School</t>
  </si>
  <si>
    <t>133306</t>
  </si>
  <si>
    <t>133322</t>
  </si>
  <si>
    <t>Summit Academy Community School Alternative Learners-Lorain</t>
  </si>
  <si>
    <t>133330</t>
  </si>
  <si>
    <t>T.C.P. World Academy</t>
  </si>
  <si>
    <t>133348</t>
  </si>
  <si>
    <t>Richard Allen Preparatory</t>
  </si>
  <si>
    <t>133421</t>
  </si>
  <si>
    <t>Graham School, The</t>
  </si>
  <si>
    <t>133439</t>
  </si>
  <si>
    <t>Cornerstone Academy Community School</t>
  </si>
  <si>
    <t>133454</t>
  </si>
  <si>
    <t>Dayton Leadership Academies-Dayton View Campus</t>
  </si>
  <si>
    <t>133488</t>
  </si>
  <si>
    <t>River Gate High School</t>
  </si>
  <si>
    <t>133504</t>
  </si>
  <si>
    <t>Phoenix Community Learning Ctr</t>
  </si>
  <si>
    <t>133512</t>
  </si>
  <si>
    <t>Cincinnati College Preparatory Academy</t>
  </si>
  <si>
    <t>133520</t>
  </si>
  <si>
    <t>Citizens Academy</t>
  </si>
  <si>
    <t>133538</t>
  </si>
  <si>
    <t>Edge Academy, The</t>
  </si>
  <si>
    <t>133561</t>
  </si>
  <si>
    <t>Millennium Community School</t>
  </si>
  <si>
    <t>133587</t>
  </si>
  <si>
    <t>Summit Academy Akron Elementary School</t>
  </si>
  <si>
    <t>133629</t>
  </si>
  <si>
    <t>Horizon Science Acad Cleveland</t>
  </si>
  <si>
    <t>133660</t>
  </si>
  <si>
    <t>Horizon Science Academy Columbus</t>
  </si>
  <si>
    <t>133678</t>
  </si>
  <si>
    <t>Riverside Academy</t>
  </si>
  <si>
    <t>133736</t>
  </si>
  <si>
    <t>Richard Allen Academy</t>
  </si>
  <si>
    <t>133785</t>
  </si>
  <si>
    <t>Life Skills Ctr Of Cincinnati</t>
  </si>
  <si>
    <t>133835</t>
  </si>
  <si>
    <t>Invictus High School</t>
  </si>
  <si>
    <t>133868</t>
  </si>
  <si>
    <t>Towpath Trail High School</t>
  </si>
  <si>
    <t>133942</t>
  </si>
  <si>
    <t>Toledo School For The Arts</t>
  </si>
  <si>
    <t>134072</t>
  </si>
  <si>
    <t>Youngstown Community School</t>
  </si>
  <si>
    <t>134098</t>
  </si>
  <si>
    <t>Constellation Schools: Old Brooklyn Community Elementary</t>
  </si>
  <si>
    <t>134122</t>
  </si>
  <si>
    <t>Autism Model School</t>
  </si>
  <si>
    <t>134197</t>
  </si>
  <si>
    <t>Green Inspiration Academy</t>
  </si>
  <si>
    <t>134213</t>
  </si>
  <si>
    <t>Middlebury Academy</t>
  </si>
  <si>
    <t>134247</t>
  </si>
  <si>
    <t>City Day Community School</t>
  </si>
  <si>
    <t>142901</t>
  </si>
  <si>
    <t>142919</t>
  </si>
  <si>
    <t>142927</t>
  </si>
  <si>
    <t>142935</t>
  </si>
  <si>
    <t>142943</t>
  </si>
  <si>
    <t>142950</t>
  </si>
  <si>
    <t>Ohio Virtual Academy</t>
  </si>
  <si>
    <t>142968</t>
  </si>
  <si>
    <t>Hope Academy Northcoast</t>
  </si>
  <si>
    <t>143172</t>
  </si>
  <si>
    <t>International Acad Of Columbus</t>
  </si>
  <si>
    <t>143198</t>
  </si>
  <si>
    <t>Great Western Academy</t>
  </si>
  <si>
    <t>143206</t>
  </si>
  <si>
    <t>143214</t>
  </si>
  <si>
    <t>143297</t>
  </si>
  <si>
    <t>The Autism Academy Of Learning</t>
  </si>
  <si>
    <t>143305</t>
  </si>
  <si>
    <t>143313</t>
  </si>
  <si>
    <t>West Preparatory Academy</t>
  </si>
  <si>
    <t>143396</t>
  </si>
  <si>
    <t>Alternative Education Academy</t>
  </si>
  <si>
    <t>143479</t>
  </si>
  <si>
    <t>Constellation Schools: Puritas Community Elementary</t>
  </si>
  <si>
    <t>143487</t>
  </si>
  <si>
    <t>Constellation Schools: Stockyard Community Elementary</t>
  </si>
  <si>
    <t>143529</t>
  </si>
  <si>
    <t>North Dayton School Of Science &amp; Discovery</t>
  </si>
  <si>
    <t>143610</t>
  </si>
  <si>
    <t>Arts &amp; College Preparatory Academy</t>
  </si>
  <si>
    <t>143644</t>
  </si>
  <si>
    <t>Sciotoville</t>
  </si>
  <si>
    <t>147231</t>
  </si>
  <si>
    <t>Schnee Learning Center</t>
  </si>
  <si>
    <t>148981</t>
  </si>
  <si>
    <t>Tomorrow Center</t>
  </si>
  <si>
    <t>148999</t>
  </si>
  <si>
    <t>Mahoning Unlimited Classroom</t>
  </si>
  <si>
    <t>149047</t>
  </si>
  <si>
    <t>Goal Digital Academy</t>
  </si>
  <si>
    <t>149088</t>
  </si>
  <si>
    <t>Fairborn Digital Academy</t>
  </si>
  <si>
    <t>149302</t>
  </si>
  <si>
    <t>Life Skills Center Of Toledo</t>
  </si>
  <si>
    <t>149328</t>
  </si>
  <si>
    <t>Foxfire High School</t>
  </si>
  <si>
    <t>151175</t>
  </si>
  <si>
    <t>151183</t>
  </si>
  <si>
    <t>Lake Erie International High School</t>
  </si>
  <si>
    <t>050773</t>
  </si>
  <si>
    <t>Apollo</t>
  </si>
  <si>
    <t>Joint Vocational School District</t>
  </si>
  <si>
    <t>050799</t>
  </si>
  <si>
    <t>Southern Hills</t>
  </si>
  <si>
    <t>050815</t>
  </si>
  <si>
    <t>050856</t>
  </si>
  <si>
    <t>Belmont-Harrison</t>
  </si>
  <si>
    <t>050880</t>
  </si>
  <si>
    <t>Butler Technology &amp; Career Development Schools</t>
  </si>
  <si>
    <t>050906</t>
  </si>
  <si>
    <t>Columbiana County</t>
  </si>
  <si>
    <t>050922</t>
  </si>
  <si>
    <t>Cuyahoga Valley Career Center</t>
  </si>
  <si>
    <t>050948</t>
  </si>
  <si>
    <t>Polaris</t>
  </si>
  <si>
    <t>050963</t>
  </si>
  <si>
    <t>Four County Career Center</t>
  </si>
  <si>
    <t>050989</t>
  </si>
  <si>
    <t>Delaware Area Career Center</t>
  </si>
  <si>
    <t>051003</t>
  </si>
  <si>
    <t>Eastland-Fairfield Career/Tech</t>
  </si>
  <si>
    <t>051029</t>
  </si>
  <si>
    <t>051045</t>
  </si>
  <si>
    <t>Greene County Vocational School District</t>
  </si>
  <si>
    <t>051060</t>
  </si>
  <si>
    <t>051128</t>
  </si>
  <si>
    <t>Jefferson County</t>
  </si>
  <si>
    <t>051144</t>
  </si>
  <si>
    <t>051169</t>
  </si>
  <si>
    <t>Auburn</t>
  </si>
  <si>
    <t>051185</t>
  </si>
  <si>
    <t>Lawrence County</t>
  </si>
  <si>
    <t>051201</t>
  </si>
  <si>
    <t>051227</t>
  </si>
  <si>
    <t>051243</t>
  </si>
  <si>
    <t>Mahoning Co Career &amp; Tech Ctr</t>
  </si>
  <si>
    <t>051284</t>
  </si>
  <si>
    <t>Miami Valley Career Tech</t>
  </si>
  <si>
    <t>051300</t>
  </si>
  <si>
    <t>051334</t>
  </si>
  <si>
    <t>Ohio Hi-Point Career Center</t>
  </si>
  <si>
    <t>051359</t>
  </si>
  <si>
    <t>Penta Career Center - District</t>
  </si>
  <si>
    <t>051375</t>
  </si>
  <si>
    <t>Pike County Area</t>
  </si>
  <si>
    <t>051391</t>
  </si>
  <si>
    <t>Maplewood Career Center</t>
  </si>
  <si>
    <t>051417</t>
  </si>
  <si>
    <t>Pioneer Career &amp; Technology</t>
  </si>
  <si>
    <t>051433</t>
  </si>
  <si>
    <t>051458</t>
  </si>
  <si>
    <t>Vanguard-Sentinel Career &amp; Technology Centers</t>
  </si>
  <si>
    <t>051474</t>
  </si>
  <si>
    <t>Warren County Vocational School</t>
  </si>
  <si>
    <t>051490</t>
  </si>
  <si>
    <t>Scioto County Career Technical Center</t>
  </si>
  <si>
    <t>051532</t>
  </si>
  <si>
    <t>Springfield-Clark County</t>
  </si>
  <si>
    <t>051607</t>
  </si>
  <si>
    <t>Tri-County Career Center</t>
  </si>
  <si>
    <t>051631</t>
  </si>
  <si>
    <t>Trumbull Career &amp; Tech Ctr</t>
  </si>
  <si>
    <t>051656</t>
  </si>
  <si>
    <t>Buckeye</t>
  </si>
  <si>
    <t>051672</t>
  </si>
  <si>
    <t>Vantage Career Center</t>
  </si>
  <si>
    <t>051698</t>
  </si>
  <si>
    <t>Washington County Career Center</t>
  </si>
  <si>
    <t>051714</t>
  </si>
  <si>
    <t>062026</t>
  </si>
  <si>
    <t>Stark County Area</t>
  </si>
  <si>
    <t>062042</t>
  </si>
  <si>
    <t>Ashland County-West Holmes</t>
  </si>
  <si>
    <t>062067</t>
  </si>
  <si>
    <t>Gallia-Jackson-Vinton</t>
  </si>
  <si>
    <t>062109</t>
  </si>
  <si>
    <t>Medina County Joint Vocational School District</t>
  </si>
  <si>
    <t>062125</t>
  </si>
  <si>
    <t>Upper Valley Career Center</t>
  </si>
  <si>
    <t>062802</t>
  </si>
  <si>
    <t>U S Grant</t>
  </si>
  <si>
    <t>063495</t>
  </si>
  <si>
    <t>063511</t>
  </si>
  <si>
    <t>Tolles Career &amp; Technical Center</t>
  </si>
  <si>
    <t>065227</t>
  </si>
  <si>
    <t>Coshocton County</t>
  </si>
  <si>
    <t>065268</t>
  </si>
  <si>
    <t>Tri-Rivers</t>
  </si>
  <si>
    <t>000442</t>
  </si>
  <si>
    <t>Manchester Local</t>
  </si>
  <si>
    <t>043489</t>
  </si>
  <si>
    <t>Akron City</t>
  </si>
  <si>
    <t>043497</t>
  </si>
  <si>
    <t>Alliance City</t>
  </si>
  <si>
    <t>043505</t>
  </si>
  <si>
    <t>Ashland City</t>
  </si>
  <si>
    <t>043513</t>
  </si>
  <si>
    <t>Ashtabula Area City</t>
  </si>
  <si>
    <t>043521</t>
  </si>
  <si>
    <t>Athens City</t>
  </si>
  <si>
    <t>043539</t>
  </si>
  <si>
    <t>Barberton City</t>
  </si>
  <si>
    <t>043547</t>
  </si>
  <si>
    <t>Bay Village City</t>
  </si>
  <si>
    <t>043554</t>
  </si>
  <si>
    <t>Beachwood City</t>
  </si>
  <si>
    <t>043562</t>
  </si>
  <si>
    <t>Bedford City</t>
  </si>
  <si>
    <t>043570</t>
  </si>
  <si>
    <t>Bellaire Local</t>
  </si>
  <si>
    <t>043588</t>
  </si>
  <si>
    <t>043596</t>
  </si>
  <si>
    <t>Bellevue City</t>
  </si>
  <si>
    <t>043604</t>
  </si>
  <si>
    <t>Belpre City</t>
  </si>
  <si>
    <t>043612</t>
  </si>
  <si>
    <t>Berea City</t>
  </si>
  <si>
    <t>043620</t>
  </si>
  <si>
    <t>Bexley City</t>
  </si>
  <si>
    <t>043638</t>
  </si>
  <si>
    <t>043646</t>
  </si>
  <si>
    <t>Brecksville-Broadview Heights City</t>
  </si>
  <si>
    <t>043653</t>
  </si>
  <si>
    <t>Brooklyn City</t>
  </si>
  <si>
    <t>043661</t>
  </si>
  <si>
    <t>Brunswick City</t>
  </si>
  <si>
    <t>043679</t>
  </si>
  <si>
    <t>Bryan City</t>
  </si>
  <si>
    <t>043687</t>
  </si>
  <si>
    <t>Bucyrus City</t>
  </si>
  <si>
    <t>043695</t>
  </si>
  <si>
    <t>Cambridge City</t>
  </si>
  <si>
    <t>043703</t>
  </si>
  <si>
    <t>Campbell City</t>
  </si>
  <si>
    <t>043711</t>
  </si>
  <si>
    <t>Canton City</t>
  </si>
  <si>
    <t>043729</t>
  </si>
  <si>
    <t>Celina City</t>
  </si>
  <si>
    <t>043737</t>
  </si>
  <si>
    <t>Centerville City</t>
  </si>
  <si>
    <t>043745</t>
  </si>
  <si>
    <t>Chillicothe City</t>
  </si>
  <si>
    <t>043752</t>
  </si>
  <si>
    <t>043760</t>
  </si>
  <si>
    <t>Circleville City</t>
  </si>
  <si>
    <t>043778</t>
  </si>
  <si>
    <t>Claymont City</t>
  </si>
  <si>
    <t>043786</t>
  </si>
  <si>
    <t>043794</t>
  </si>
  <si>
    <t>Cleveland Heights-University Heights City</t>
  </si>
  <si>
    <t>043802</t>
  </si>
  <si>
    <t>043810</t>
  </si>
  <si>
    <t>Conneaut Area City</t>
  </si>
  <si>
    <t>043836</t>
  </si>
  <si>
    <t>Cuyahoga Falls City</t>
  </si>
  <si>
    <t>043844</t>
  </si>
  <si>
    <t>Dayton City</t>
  </si>
  <si>
    <t>043851</t>
  </si>
  <si>
    <t>Deer Park Community City</t>
  </si>
  <si>
    <t>043869</t>
  </si>
  <si>
    <t>Defiance City</t>
  </si>
  <si>
    <t>043877</t>
  </si>
  <si>
    <t>Delaware City</t>
  </si>
  <si>
    <t>043885</t>
  </si>
  <si>
    <t>Delphos City</t>
  </si>
  <si>
    <t>043893</t>
  </si>
  <si>
    <t>Dover City</t>
  </si>
  <si>
    <t>043901</t>
  </si>
  <si>
    <t>043919</t>
  </si>
  <si>
    <t>East Liverpool City</t>
  </si>
  <si>
    <t>043927</t>
  </si>
  <si>
    <t>East Palestine City</t>
  </si>
  <si>
    <t>043935</t>
  </si>
  <si>
    <t>Eaton Community City</t>
  </si>
  <si>
    <t>043943</t>
  </si>
  <si>
    <t>043950</t>
  </si>
  <si>
    <t>Euclid City</t>
  </si>
  <si>
    <t>043968</t>
  </si>
  <si>
    <t>043976</t>
  </si>
  <si>
    <t>Fairview Park City</t>
  </si>
  <si>
    <t>043984</t>
  </si>
  <si>
    <t>Findlay City</t>
  </si>
  <si>
    <t>043992</t>
  </si>
  <si>
    <t>Fostoria City</t>
  </si>
  <si>
    <t>044008</t>
  </si>
  <si>
    <t>Franklin City</t>
  </si>
  <si>
    <t>044016</t>
  </si>
  <si>
    <t>Fremont City</t>
  </si>
  <si>
    <t>044024</t>
  </si>
  <si>
    <t>Galion City</t>
  </si>
  <si>
    <t>044032</t>
  </si>
  <si>
    <t>044040</t>
  </si>
  <si>
    <t>044057</t>
  </si>
  <si>
    <t>Geneva Area City</t>
  </si>
  <si>
    <t>044065</t>
  </si>
  <si>
    <t>044073</t>
  </si>
  <si>
    <t>044081</t>
  </si>
  <si>
    <t>Winton Woods City</t>
  </si>
  <si>
    <t>044099</t>
  </si>
  <si>
    <t>044107</t>
  </si>
  <si>
    <t>Hamilton City</t>
  </si>
  <si>
    <t>044115</t>
  </si>
  <si>
    <t>Heath City</t>
  </si>
  <si>
    <t>044123</t>
  </si>
  <si>
    <t>Hillsboro City</t>
  </si>
  <si>
    <t>044131</t>
  </si>
  <si>
    <t>044149</t>
  </si>
  <si>
    <t>044156</t>
  </si>
  <si>
    <t>Jackson City</t>
  </si>
  <si>
    <t>044164</t>
  </si>
  <si>
    <t>Kent City</t>
  </si>
  <si>
    <t>044172</t>
  </si>
  <si>
    <t>Kenton City</t>
  </si>
  <si>
    <t>044180</t>
  </si>
  <si>
    <t>044198</t>
  </si>
  <si>
    <t>Lakewood City</t>
  </si>
  <si>
    <t>044206</t>
  </si>
  <si>
    <t>Lancaster City</t>
  </si>
  <si>
    <t>044214</t>
  </si>
  <si>
    <t>Lebanon City</t>
  </si>
  <si>
    <t>044222</t>
  </si>
  <si>
    <t>Lima City</t>
  </si>
  <si>
    <t>044230</t>
  </si>
  <si>
    <t>Lockland Local</t>
  </si>
  <si>
    <t>044248</t>
  </si>
  <si>
    <t>Logan-Hocking Local</t>
  </si>
  <si>
    <t>044255</t>
  </si>
  <si>
    <t>London City</t>
  </si>
  <si>
    <t>044263</t>
  </si>
  <si>
    <t>Lorain City</t>
  </si>
  <si>
    <t>044271</t>
  </si>
  <si>
    <t>Loveland City</t>
  </si>
  <si>
    <t>044289</t>
  </si>
  <si>
    <t>Madeira City</t>
  </si>
  <si>
    <t>044297</t>
  </si>
  <si>
    <t>Mansfield City</t>
  </si>
  <si>
    <t>044305</t>
  </si>
  <si>
    <t>Maple Heights City</t>
  </si>
  <si>
    <t>044313</t>
  </si>
  <si>
    <t>Mariemont City</t>
  </si>
  <si>
    <t>044321</t>
  </si>
  <si>
    <t>Marietta City</t>
  </si>
  <si>
    <t>044339</t>
  </si>
  <si>
    <t>Marion City</t>
  </si>
  <si>
    <t>044347</t>
  </si>
  <si>
    <t>Martins Ferry City</t>
  </si>
  <si>
    <t>044354</t>
  </si>
  <si>
    <t>Massillon City</t>
  </si>
  <si>
    <t>044362</t>
  </si>
  <si>
    <t>Maumee City</t>
  </si>
  <si>
    <t>044370</t>
  </si>
  <si>
    <t>Mayfield City</t>
  </si>
  <si>
    <t>044388</t>
  </si>
  <si>
    <t>044396</t>
  </si>
  <si>
    <t>Miamisburg City</t>
  </si>
  <si>
    <t>044404</t>
  </si>
  <si>
    <t>Middletown City</t>
  </si>
  <si>
    <t>044412</t>
  </si>
  <si>
    <t>Mt Healthy City</t>
  </si>
  <si>
    <t>044420</t>
  </si>
  <si>
    <t>Mount Vernon City</t>
  </si>
  <si>
    <t>044438</t>
  </si>
  <si>
    <t>Napoleon Area City</t>
  </si>
  <si>
    <t>044446</t>
  </si>
  <si>
    <t>Nelsonville-York City</t>
  </si>
  <si>
    <t>044453</t>
  </si>
  <si>
    <t>Newark City</t>
  </si>
  <si>
    <t>044461</t>
  </si>
  <si>
    <t>New Boston Local</t>
  </si>
  <si>
    <t>044479</t>
  </si>
  <si>
    <t>044487</t>
  </si>
  <si>
    <t>New Philadelphia City</t>
  </si>
  <si>
    <t>044495</t>
  </si>
  <si>
    <t>Niles City</t>
  </si>
  <si>
    <t>044503</t>
  </si>
  <si>
    <t>North Canton City</t>
  </si>
  <si>
    <t>044511</t>
  </si>
  <si>
    <t>North College Hill City</t>
  </si>
  <si>
    <t>044529</t>
  </si>
  <si>
    <t>North Olmsted City</t>
  </si>
  <si>
    <t>044537</t>
  </si>
  <si>
    <t>North Ridgeville City</t>
  </si>
  <si>
    <t>044545</t>
  </si>
  <si>
    <t>North Royalton City</t>
  </si>
  <si>
    <t>044552</t>
  </si>
  <si>
    <t>Norton City</t>
  </si>
  <si>
    <t>044560</t>
  </si>
  <si>
    <t>Norwalk City</t>
  </si>
  <si>
    <t>044578</t>
  </si>
  <si>
    <t>044586</t>
  </si>
  <si>
    <t>Oakwood City</t>
  </si>
  <si>
    <t>044594</t>
  </si>
  <si>
    <t>044602</t>
  </si>
  <si>
    <t>Oregon City</t>
  </si>
  <si>
    <t>044610</t>
  </si>
  <si>
    <t>Orrville City</t>
  </si>
  <si>
    <t>044628</t>
  </si>
  <si>
    <t>Painesville City Local</t>
  </si>
  <si>
    <t>044636</t>
  </si>
  <si>
    <t>Parma City</t>
  </si>
  <si>
    <t>044644</t>
  </si>
  <si>
    <t>Piqua City</t>
  </si>
  <si>
    <t>044651</t>
  </si>
  <si>
    <t>Port Clinton City</t>
  </si>
  <si>
    <t>044669</t>
  </si>
  <si>
    <t>Portsmouth City</t>
  </si>
  <si>
    <t>044677</t>
  </si>
  <si>
    <t>Princeton City</t>
  </si>
  <si>
    <t>044685</t>
  </si>
  <si>
    <t>Ravenna City</t>
  </si>
  <si>
    <t>044693</t>
  </si>
  <si>
    <t>Reading Community City</t>
  </si>
  <si>
    <t>044701</t>
  </si>
  <si>
    <t>Rocky River City</t>
  </si>
  <si>
    <t>044719</t>
  </si>
  <si>
    <t>St Bernard-Elmwood Place City</t>
  </si>
  <si>
    <t>044727</t>
  </si>
  <si>
    <t>St Marys City</t>
  </si>
  <si>
    <t>044735</t>
  </si>
  <si>
    <t>Salem City</t>
  </si>
  <si>
    <t>044743</t>
  </si>
  <si>
    <t>Sandusky City</t>
  </si>
  <si>
    <t>044750</t>
  </si>
  <si>
    <t>Shaker Heights City</t>
  </si>
  <si>
    <t>044768</t>
  </si>
  <si>
    <t>Sheffield-Sheffield Lake City</t>
  </si>
  <si>
    <t>044776</t>
  </si>
  <si>
    <t>Shelby City</t>
  </si>
  <si>
    <t>044784</t>
  </si>
  <si>
    <t>Sidney City</t>
  </si>
  <si>
    <t>044792</t>
  </si>
  <si>
    <t>South Euclid-Lyndhurst City</t>
  </si>
  <si>
    <t>044800</t>
  </si>
  <si>
    <t>South-Western City</t>
  </si>
  <si>
    <t>044818</t>
  </si>
  <si>
    <t>044826</t>
  </si>
  <si>
    <t>Steubenville City</t>
  </si>
  <si>
    <t>044834</t>
  </si>
  <si>
    <t>044842</t>
  </si>
  <si>
    <t>Strongsville City</t>
  </si>
  <si>
    <t>044859</t>
  </si>
  <si>
    <t>Struthers City</t>
  </si>
  <si>
    <t>044867</t>
  </si>
  <si>
    <t>Sycamore Community City</t>
  </si>
  <si>
    <t>044875</t>
  </si>
  <si>
    <t>044883</t>
  </si>
  <si>
    <t>Tallmadge City</t>
  </si>
  <si>
    <t>044891</t>
  </si>
  <si>
    <t>Tiffin City</t>
  </si>
  <si>
    <t>044909</t>
  </si>
  <si>
    <t>Toledo City</t>
  </si>
  <si>
    <t>044917</t>
  </si>
  <si>
    <t>Toronto City</t>
  </si>
  <si>
    <t>044925</t>
  </si>
  <si>
    <t>Troy City</t>
  </si>
  <si>
    <t>044933</t>
  </si>
  <si>
    <t>Upper Arlington City</t>
  </si>
  <si>
    <t>044941</t>
  </si>
  <si>
    <t>Urbana City</t>
  </si>
  <si>
    <t>044958</t>
  </si>
  <si>
    <t>Vandalia-Butler City</t>
  </si>
  <si>
    <t>044966</t>
  </si>
  <si>
    <t>Van Wert City</t>
  </si>
  <si>
    <t>044974</t>
  </si>
  <si>
    <t>044982</t>
  </si>
  <si>
    <t>Wapakoneta City</t>
  </si>
  <si>
    <t>044990</t>
  </si>
  <si>
    <t>Warren City</t>
  </si>
  <si>
    <t>045005</t>
  </si>
  <si>
    <t>Warrensville Heights City</t>
  </si>
  <si>
    <t>045013</t>
  </si>
  <si>
    <t>Washington Court House City</t>
  </si>
  <si>
    <t>045021</t>
  </si>
  <si>
    <t>045039</t>
  </si>
  <si>
    <t>Wellsville Local</t>
  </si>
  <si>
    <t>045047</t>
  </si>
  <si>
    <t>Westerville City</t>
  </si>
  <si>
    <t>045054</t>
  </si>
  <si>
    <t>West Carrollton City</t>
  </si>
  <si>
    <t>045062</t>
  </si>
  <si>
    <t>Westlake City</t>
  </si>
  <si>
    <t>045070</t>
  </si>
  <si>
    <t>Whitehall City</t>
  </si>
  <si>
    <t>045088</t>
  </si>
  <si>
    <t>Wickliffe City</t>
  </si>
  <si>
    <t>045096</t>
  </si>
  <si>
    <t>Willard City</t>
  </si>
  <si>
    <t>045104</t>
  </si>
  <si>
    <t>Willoughby-Eastlake City</t>
  </si>
  <si>
    <t>045112</t>
  </si>
  <si>
    <t>Wilmington City</t>
  </si>
  <si>
    <t>045120</t>
  </si>
  <si>
    <t>Wooster City</t>
  </si>
  <si>
    <t>045138</t>
  </si>
  <si>
    <t>Worthington City</t>
  </si>
  <si>
    <t>045146</t>
  </si>
  <si>
    <t>Wyoming City</t>
  </si>
  <si>
    <t>045153</t>
  </si>
  <si>
    <t>Xenia Community City</t>
  </si>
  <si>
    <t>045161</t>
  </si>
  <si>
    <t>045179</t>
  </si>
  <si>
    <t>Zanesville City</t>
  </si>
  <si>
    <t>045187</t>
  </si>
  <si>
    <t>Ada Exempted Village</t>
  </si>
  <si>
    <t>045195</t>
  </si>
  <si>
    <t>Amherst Exempted Village</t>
  </si>
  <si>
    <t>045203</t>
  </si>
  <si>
    <t>Barnesville Exempted Village</t>
  </si>
  <si>
    <t>045211</t>
  </si>
  <si>
    <t>Bluffton Exempted Village</t>
  </si>
  <si>
    <t>045229</t>
  </si>
  <si>
    <t>Bradford Exempted Village</t>
  </si>
  <si>
    <t>045237</t>
  </si>
  <si>
    <t>Bridgeport Exempted Village</t>
  </si>
  <si>
    <t>045245</t>
  </si>
  <si>
    <t>Harrison Hills City</t>
  </si>
  <si>
    <t>045252</t>
  </si>
  <si>
    <t>Caldwell Exempted Village</t>
  </si>
  <si>
    <t>045260</t>
  </si>
  <si>
    <t>045278</t>
  </si>
  <si>
    <t>Carrollton Exempted Village</t>
  </si>
  <si>
    <t>045286</t>
  </si>
  <si>
    <t>Chagrin Falls Exempted Village</t>
  </si>
  <si>
    <t>045294</t>
  </si>
  <si>
    <t>Chesapeake Union Exempted Village</t>
  </si>
  <si>
    <t>045302</t>
  </si>
  <si>
    <t>Clyde-Green Springs Exempted Village</t>
  </si>
  <si>
    <t>045310</t>
  </si>
  <si>
    <t>Coldwater Exempted Village</t>
  </si>
  <si>
    <t>045328</t>
  </si>
  <si>
    <t>Columbiana Exempted Village</t>
  </si>
  <si>
    <t>045336</t>
  </si>
  <si>
    <t>Covington Exempted Village</t>
  </si>
  <si>
    <t>045344</t>
  </si>
  <si>
    <t>Crestline Exempted Village</t>
  </si>
  <si>
    <t>045351</t>
  </si>
  <si>
    <t>Crooksville Exempted Village</t>
  </si>
  <si>
    <t>045369</t>
  </si>
  <si>
    <t>Fairport Harbor Exempted Village</t>
  </si>
  <si>
    <t>045377</t>
  </si>
  <si>
    <t>Georgetown Exempted Village</t>
  </si>
  <si>
    <t>045385</t>
  </si>
  <si>
    <t>Gibsonburg Exempted Village</t>
  </si>
  <si>
    <t>045393</t>
  </si>
  <si>
    <t>Granville Exempted Village</t>
  </si>
  <si>
    <t>045401</t>
  </si>
  <si>
    <t>Greenfield Exempted Village</t>
  </si>
  <si>
    <t>045419</t>
  </si>
  <si>
    <t>Hicksville Exempted Village</t>
  </si>
  <si>
    <t>045427</t>
  </si>
  <si>
    <t>Hubbard Exempted Village</t>
  </si>
  <si>
    <t>045435</t>
  </si>
  <si>
    <t>Indian Hill Exempted Village</t>
  </si>
  <si>
    <t>045443</t>
  </si>
  <si>
    <t>Leetonia Exempted Village</t>
  </si>
  <si>
    <t>045450</t>
  </si>
  <si>
    <t>Lisbon Exempted Village</t>
  </si>
  <si>
    <t>045468</t>
  </si>
  <si>
    <t>Loudonville-Perrysville Exempted Village</t>
  </si>
  <si>
    <t>045476</t>
  </si>
  <si>
    <t>Marysville Exempted Village</t>
  </si>
  <si>
    <t>045484</t>
  </si>
  <si>
    <t>Mechanicsburg Exempted Village</t>
  </si>
  <si>
    <t>045492</t>
  </si>
  <si>
    <t>Mentor Exempted Village</t>
  </si>
  <si>
    <t>045500</t>
  </si>
  <si>
    <t>Milford Exempted Village</t>
  </si>
  <si>
    <t>045518</t>
  </si>
  <si>
    <t>Milton-Union Exempted Village</t>
  </si>
  <si>
    <t>045526</t>
  </si>
  <si>
    <t>Montpelier Exempted Village</t>
  </si>
  <si>
    <t>045534</t>
  </si>
  <si>
    <t>Mount Gilead Exempted Village</t>
  </si>
  <si>
    <t>045542</t>
  </si>
  <si>
    <t>Newcomerstown Exempted Village</t>
  </si>
  <si>
    <t>045559</t>
  </si>
  <si>
    <t>New Richmond Exempted Village</t>
  </si>
  <si>
    <t>045567</t>
  </si>
  <si>
    <t>Newton Falls Exempted Village</t>
  </si>
  <si>
    <t>045575</t>
  </si>
  <si>
    <t>Paulding Exempted Village</t>
  </si>
  <si>
    <t>045583</t>
  </si>
  <si>
    <t>Perrysburg Exempted Village</t>
  </si>
  <si>
    <t>045591</t>
  </si>
  <si>
    <t>Rittman Exempted Village</t>
  </si>
  <si>
    <t>045609</t>
  </si>
  <si>
    <t>Rossford Exempted Village</t>
  </si>
  <si>
    <t>045617</t>
  </si>
  <si>
    <t>Tipp City Exempted Village</t>
  </si>
  <si>
    <t>045625</t>
  </si>
  <si>
    <t>Upper Sandusky Exempted Village</t>
  </si>
  <si>
    <t>045633</t>
  </si>
  <si>
    <t>Versailles Exempted Village</t>
  </si>
  <si>
    <t>045641</t>
  </si>
  <si>
    <t>Wauseon Exempted Village</t>
  </si>
  <si>
    <t>045658</t>
  </si>
  <si>
    <t>Wellington Exempted Village</t>
  </si>
  <si>
    <t>045666</t>
  </si>
  <si>
    <t>Windham Exempted Village</t>
  </si>
  <si>
    <t>045674</t>
  </si>
  <si>
    <t>Yellow Springs Exempted Village</t>
  </si>
  <si>
    <t>045757</t>
  </si>
  <si>
    <t>Allen East Local</t>
  </si>
  <si>
    <t>045765</t>
  </si>
  <si>
    <t>Bath Local</t>
  </si>
  <si>
    <t>045773</t>
  </si>
  <si>
    <t>Elida Local</t>
  </si>
  <si>
    <t>045781</t>
  </si>
  <si>
    <t>Perry Local</t>
  </si>
  <si>
    <t>045799</t>
  </si>
  <si>
    <t>Shawnee Local</t>
  </si>
  <si>
    <t>045807</t>
  </si>
  <si>
    <t>Spencerville Local</t>
  </si>
  <si>
    <t>045823</t>
  </si>
  <si>
    <t>Hillsdale Local</t>
  </si>
  <si>
    <t>045831</t>
  </si>
  <si>
    <t>Mapleton Local</t>
  </si>
  <si>
    <t>045856</t>
  </si>
  <si>
    <t>Buckeye Local</t>
  </si>
  <si>
    <t>045864</t>
  </si>
  <si>
    <t>Grand Valley Local</t>
  </si>
  <si>
    <t>045872</t>
  </si>
  <si>
    <t>Jefferson Area Local</t>
  </si>
  <si>
    <t>045880</t>
  </si>
  <si>
    <t>Pymatuning Valley Local</t>
  </si>
  <si>
    <t>045906</t>
  </si>
  <si>
    <t>Alexander Local</t>
  </si>
  <si>
    <t>045914</t>
  </si>
  <si>
    <t>Federal Hocking Local</t>
  </si>
  <si>
    <t>045922</t>
  </si>
  <si>
    <t>Trimble Local</t>
  </si>
  <si>
    <t>045948</t>
  </si>
  <si>
    <t>Minster Local</t>
  </si>
  <si>
    <t>045955</t>
  </si>
  <si>
    <t>New Bremen Local</t>
  </si>
  <si>
    <t>045963</t>
  </si>
  <si>
    <t>New Knoxville Local</t>
  </si>
  <si>
    <t>045971</t>
  </si>
  <si>
    <t>Waynesfield-Goshen Local</t>
  </si>
  <si>
    <t>045997</t>
  </si>
  <si>
    <t>St Clairsville-Richland City</t>
  </si>
  <si>
    <t>046003</t>
  </si>
  <si>
    <t>Shadyside Local</t>
  </si>
  <si>
    <t>046011</t>
  </si>
  <si>
    <t>Union Local</t>
  </si>
  <si>
    <t>046037</t>
  </si>
  <si>
    <t>Eastern Local</t>
  </si>
  <si>
    <t>046045</t>
  </si>
  <si>
    <t>Fayetteville-Perry Local</t>
  </si>
  <si>
    <t>046060</t>
  </si>
  <si>
    <t>Western Brown Local</t>
  </si>
  <si>
    <t>046078</t>
  </si>
  <si>
    <t>Ripley-Union-Lewis-Huntington Local</t>
  </si>
  <si>
    <t>046094</t>
  </si>
  <si>
    <t>Edgewood City</t>
  </si>
  <si>
    <t>046102</t>
  </si>
  <si>
    <t>Fairfield City</t>
  </si>
  <si>
    <t>046110</t>
  </si>
  <si>
    <t>Lakota Local</t>
  </si>
  <si>
    <t>046128</t>
  </si>
  <si>
    <t>Madison Local</t>
  </si>
  <si>
    <t>046136</t>
  </si>
  <si>
    <t>New Miami Local</t>
  </si>
  <si>
    <t>046144</t>
  </si>
  <si>
    <t>Ross Local</t>
  </si>
  <si>
    <t>046151</t>
  </si>
  <si>
    <t>Talawanda City</t>
  </si>
  <si>
    <t>046177</t>
  </si>
  <si>
    <t>Brown Local</t>
  </si>
  <si>
    <t>046193</t>
  </si>
  <si>
    <t>Graham Local</t>
  </si>
  <si>
    <t>046201</t>
  </si>
  <si>
    <t>Triad Local</t>
  </si>
  <si>
    <t>046219</t>
  </si>
  <si>
    <t>West Liberty-Salem Local</t>
  </si>
  <si>
    <t>046235</t>
  </si>
  <si>
    <t>Greenon Local</t>
  </si>
  <si>
    <t>046243</t>
  </si>
  <si>
    <t>Tecumseh Local</t>
  </si>
  <si>
    <t>046250</t>
  </si>
  <si>
    <t>Northeastern Local</t>
  </si>
  <si>
    <t>046268</t>
  </si>
  <si>
    <t>Northwestern Local</t>
  </si>
  <si>
    <t>046276</t>
  </si>
  <si>
    <t>Southeastern Local</t>
  </si>
  <si>
    <t>046284</t>
  </si>
  <si>
    <t>Clark-Shawnee Local</t>
  </si>
  <si>
    <t>046300</t>
  </si>
  <si>
    <t>Batavia Local</t>
  </si>
  <si>
    <t>046318</t>
  </si>
  <si>
    <t>Bethel-Tate Local</t>
  </si>
  <si>
    <t>046326</t>
  </si>
  <si>
    <t>Clermont Northeastern Local</t>
  </si>
  <si>
    <t>046334</t>
  </si>
  <si>
    <t>Felicity-Franklin Local</t>
  </si>
  <si>
    <t>046342</t>
  </si>
  <si>
    <t>Goshen Local</t>
  </si>
  <si>
    <t>046359</t>
  </si>
  <si>
    <t>West Clermont Local</t>
  </si>
  <si>
    <t>046367</t>
  </si>
  <si>
    <t>Williamsburg Local</t>
  </si>
  <si>
    <t>046383</t>
  </si>
  <si>
    <t>Blanchester Local</t>
  </si>
  <si>
    <t>046391</t>
  </si>
  <si>
    <t>Clinton-Massie Local</t>
  </si>
  <si>
    <t>046409</t>
  </si>
  <si>
    <t>East Clinton Local</t>
  </si>
  <si>
    <t>046425</t>
  </si>
  <si>
    <t>Beaver Local</t>
  </si>
  <si>
    <t>046433</t>
  </si>
  <si>
    <t>Crestview Local</t>
  </si>
  <si>
    <t>046441</t>
  </si>
  <si>
    <t>Southern Local</t>
  </si>
  <si>
    <t>046458</t>
  </si>
  <si>
    <t>United Local</t>
  </si>
  <si>
    <t>046474</t>
  </si>
  <si>
    <t>Ridgewood Local</t>
  </si>
  <si>
    <t>046482</t>
  </si>
  <si>
    <t>River View Local</t>
  </si>
  <si>
    <t>046508</t>
  </si>
  <si>
    <t>Buckeye Central Local</t>
  </si>
  <si>
    <t>046516</t>
  </si>
  <si>
    <t>Colonel Crawford Local</t>
  </si>
  <si>
    <t>046524</t>
  </si>
  <si>
    <t>Wynford Local</t>
  </si>
  <si>
    <t>046557</t>
  </si>
  <si>
    <t>Cuyahoga Heights Local</t>
  </si>
  <si>
    <t>046565</t>
  </si>
  <si>
    <t>Independence Local</t>
  </si>
  <si>
    <t>046573</t>
  </si>
  <si>
    <t>Olmsted Falls City</t>
  </si>
  <si>
    <t>046581</t>
  </si>
  <si>
    <t>046599</t>
  </si>
  <si>
    <t>Richmond Heights Local</t>
  </si>
  <si>
    <t>046607</t>
  </si>
  <si>
    <t>Solon City</t>
  </si>
  <si>
    <t>046623</t>
  </si>
  <si>
    <t>Ansonia Local</t>
  </si>
  <si>
    <t>046631</t>
  </si>
  <si>
    <t>046649</t>
  </si>
  <si>
    <t>Franklin Monroe Local</t>
  </si>
  <si>
    <t>046672</t>
  </si>
  <si>
    <t>Mississinawa Valley Local</t>
  </si>
  <si>
    <t>046680</t>
  </si>
  <si>
    <t>Tri-Village Local</t>
  </si>
  <si>
    <t>046706</t>
  </si>
  <si>
    <t>046714</t>
  </si>
  <si>
    <t>046722</t>
  </si>
  <si>
    <t>046748</t>
  </si>
  <si>
    <t>Big Walnut Local</t>
  </si>
  <si>
    <t>046755</t>
  </si>
  <si>
    <t>Buckeye Valley Local</t>
  </si>
  <si>
    <t>046763</t>
  </si>
  <si>
    <t>Olentangy Local</t>
  </si>
  <si>
    <t>046789</t>
  </si>
  <si>
    <t>046805</t>
  </si>
  <si>
    <t>Margaretta Local</t>
  </si>
  <si>
    <t>046813</t>
  </si>
  <si>
    <t>Perkins Local</t>
  </si>
  <si>
    <t>046821</t>
  </si>
  <si>
    <t>Vermilion Local</t>
  </si>
  <si>
    <t>046847</t>
  </si>
  <si>
    <t>Amanda-Clearcreek Local</t>
  </si>
  <si>
    <t>046854</t>
  </si>
  <si>
    <t>Berne Union Local</t>
  </si>
  <si>
    <t>046862</t>
  </si>
  <si>
    <t>Bloom-Carroll Local</t>
  </si>
  <si>
    <t>046870</t>
  </si>
  <si>
    <t>Fairfield Union Local</t>
  </si>
  <si>
    <t>046888</t>
  </si>
  <si>
    <t>Liberty Union-Thurston Local</t>
  </si>
  <si>
    <t>046896</t>
  </si>
  <si>
    <t>Pickerington Local</t>
  </si>
  <si>
    <t>046904</t>
  </si>
  <si>
    <t>Walnut Township Local</t>
  </si>
  <si>
    <t>046920</t>
  </si>
  <si>
    <t>Miami Trace Local</t>
  </si>
  <si>
    <t>046946</t>
  </si>
  <si>
    <t>Canal Winchester Local</t>
  </si>
  <si>
    <t>046953</t>
  </si>
  <si>
    <t>Hamilton Local</t>
  </si>
  <si>
    <t>046961</t>
  </si>
  <si>
    <t>Gahanna-Jefferson City</t>
  </si>
  <si>
    <t>046979</t>
  </si>
  <si>
    <t>Groveport Madison Local</t>
  </si>
  <si>
    <t>046995</t>
  </si>
  <si>
    <t>New Albany-Plain Local</t>
  </si>
  <si>
    <t>047001</t>
  </si>
  <si>
    <t>Reynoldsburg City</t>
  </si>
  <si>
    <t>047019</t>
  </si>
  <si>
    <t>Hilliard City</t>
  </si>
  <si>
    <t>047027</t>
  </si>
  <si>
    <t>Dublin City</t>
  </si>
  <si>
    <t>047043</t>
  </si>
  <si>
    <t>Archbold-Area Local</t>
  </si>
  <si>
    <t>047050</t>
  </si>
  <si>
    <t>Evergreen Local</t>
  </si>
  <si>
    <t>047068</t>
  </si>
  <si>
    <t>Fayette Local</t>
  </si>
  <si>
    <t>047076</t>
  </si>
  <si>
    <t>Pettisville Local</t>
  </si>
  <si>
    <t>047084</t>
  </si>
  <si>
    <t>Pike-Delta-York Local</t>
  </si>
  <si>
    <t>047092</t>
  </si>
  <si>
    <t>Swanton Local</t>
  </si>
  <si>
    <t>047167</t>
  </si>
  <si>
    <t>Berkshire Local</t>
  </si>
  <si>
    <t>047175</t>
  </si>
  <si>
    <t>Cardinal Local</t>
  </si>
  <si>
    <t>047183</t>
  </si>
  <si>
    <t>Chardon Local</t>
  </si>
  <si>
    <t>047191</t>
  </si>
  <si>
    <t>Kenston Local</t>
  </si>
  <si>
    <t>047217</t>
  </si>
  <si>
    <t>047225</t>
  </si>
  <si>
    <t>West Geauga Local</t>
  </si>
  <si>
    <t>047241</t>
  </si>
  <si>
    <t>Beavercreek City</t>
  </si>
  <si>
    <t>047258</t>
  </si>
  <si>
    <t>Cedar Cliff Local</t>
  </si>
  <si>
    <t>047266</t>
  </si>
  <si>
    <t>Greeneview Local</t>
  </si>
  <si>
    <t>047274</t>
  </si>
  <si>
    <t>047308</t>
  </si>
  <si>
    <t>Rolling Hills Local</t>
  </si>
  <si>
    <t>047332</t>
  </si>
  <si>
    <t>Finneytown Local</t>
  </si>
  <si>
    <t>047340</t>
  </si>
  <si>
    <t>Forest Hills Local</t>
  </si>
  <si>
    <t>047365</t>
  </si>
  <si>
    <t>Northwest Local</t>
  </si>
  <si>
    <t>047373</t>
  </si>
  <si>
    <t>047381</t>
  </si>
  <si>
    <t>Southwest Local</t>
  </si>
  <si>
    <t>047399</t>
  </si>
  <si>
    <t>047415</t>
  </si>
  <si>
    <t>Arcadia Local</t>
  </si>
  <si>
    <t>047423</t>
  </si>
  <si>
    <t>Arlington Local</t>
  </si>
  <si>
    <t>047431</t>
  </si>
  <si>
    <t>Cory-Rawson Local</t>
  </si>
  <si>
    <t>047449</t>
  </si>
  <si>
    <t>Liberty-Benton Local</t>
  </si>
  <si>
    <t>047456</t>
  </si>
  <si>
    <t>047464</t>
  </si>
  <si>
    <t>Van Buren Local</t>
  </si>
  <si>
    <t>047472</t>
  </si>
  <si>
    <t>Vanlue Local</t>
  </si>
  <si>
    <t>047498</t>
  </si>
  <si>
    <t>Hardin Northern Local</t>
  </si>
  <si>
    <t>047506</t>
  </si>
  <si>
    <t>Ridgemont Local</t>
  </si>
  <si>
    <t>047514</t>
  </si>
  <si>
    <t>Riverdale Local</t>
  </si>
  <si>
    <t>047522</t>
  </si>
  <si>
    <t>Upper Scioto Valley Local</t>
  </si>
  <si>
    <t>047548</t>
  </si>
  <si>
    <t>Conotton Valley Union Local</t>
  </si>
  <si>
    <t>047571</t>
  </si>
  <si>
    <t>Holgate Local</t>
  </si>
  <si>
    <t>047589</t>
  </si>
  <si>
    <t>Liberty Center Local</t>
  </si>
  <si>
    <t>047597</t>
  </si>
  <si>
    <t>Patrick Henry Local</t>
  </si>
  <si>
    <t>047613</t>
  </si>
  <si>
    <t>Bright Local</t>
  </si>
  <si>
    <t>047621</t>
  </si>
  <si>
    <t>Fairfield Local</t>
  </si>
  <si>
    <t>047639</t>
  </si>
  <si>
    <t>Lynchburg-Clay Local</t>
  </si>
  <si>
    <t>047688</t>
  </si>
  <si>
    <t>047696</t>
  </si>
  <si>
    <t>West Holmes Local</t>
  </si>
  <si>
    <t>047712</t>
  </si>
  <si>
    <t>Monroeville Local</t>
  </si>
  <si>
    <t>047720</t>
  </si>
  <si>
    <t>New London Local</t>
  </si>
  <si>
    <t>047738</t>
  </si>
  <si>
    <t>South Central Local</t>
  </si>
  <si>
    <t>047746</t>
  </si>
  <si>
    <t>Western Reserve Local</t>
  </si>
  <si>
    <t>047761</t>
  </si>
  <si>
    <t>Oak Hill Union Local</t>
  </si>
  <si>
    <t>047787</t>
  </si>
  <si>
    <t>047795</t>
  </si>
  <si>
    <t>Edison Local</t>
  </si>
  <si>
    <t>047803</t>
  </si>
  <si>
    <t>Indian Creek Local</t>
  </si>
  <si>
    <t>047829</t>
  </si>
  <si>
    <t>Centerburg Local</t>
  </si>
  <si>
    <t>047837</t>
  </si>
  <si>
    <t>047845</t>
  </si>
  <si>
    <t>East Knox Local</t>
  </si>
  <si>
    <t>047852</t>
  </si>
  <si>
    <t>Fredericktown Local</t>
  </si>
  <si>
    <t>047878</t>
  </si>
  <si>
    <t>Kirtland Local</t>
  </si>
  <si>
    <t>047886</t>
  </si>
  <si>
    <t>047894</t>
  </si>
  <si>
    <t>Riverside Local</t>
  </si>
  <si>
    <t>047902</t>
  </si>
  <si>
    <t>047928</t>
  </si>
  <si>
    <t>Dawson-Bryant Local</t>
  </si>
  <si>
    <t>047936</t>
  </si>
  <si>
    <t>047944</t>
  </si>
  <si>
    <t>Rock Hill Local</t>
  </si>
  <si>
    <t>047951</t>
  </si>
  <si>
    <t>South Point Local</t>
  </si>
  <si>
    <t>047969</t>
  </si>
  <si>
    <t>Symmes Valley Local</t>
  </si>
  <si>
    <t>047985</t>
  </si>
  <si>
    <t>Johnstown-Monroe Local</t>
  </si>
  <si>
    <t>047993</t>
  </si>
  <si>
    <t>Lakewood Local</t>
  </si>
  <si>
    <t>048009</t>
  </si>
  <si>
    <t>Licking Heights Local</t>
  </si>
  <si>
    <t>048017</t>
  </si>
  <si>
    <t>Licking Valley Local</t>
  </si>
  <si>
    <t>048025</t>
  </si>
  <si>
    <t>North Fork Local</t>
  </si>
  <si>
    <t>048033</t>
  </si>
  <si>
    <t>Northridge Local</t>
  </si>
  <si>
    <t>048041</t>
  </si>
  <si>
    <t>Southwest Licking Local</t>
  </si>
  <si>
    <t>048074</t>
  </si>
  <si>
    <t>Benjamin Logan Local</t>
  </si>
  <si>
    <t>048082</t>
  </si>
  <si>
    <t>Indian Lake Local</t>
  </si>
  <si>
    <t>048090</t>
  </si>
  <si>
    <t>048116</t>
  </si>
  <si>
    <t>Avon Local</t>
  </si>
  <si>
    <t>048124</t>
  </si>
  <si>
    <t>Avon Lake City</t>
  </si>
  <si>
    <t>048132</t>
  </si>
  <si>
    <t>Clearview Local</t>
  </si>
  <si>
    <t>048140</t>
  </si>
  <si>
    <t>Columbia Local</t>
  </si>
  <si>
    <t>048157</t>
  </si>
  <si>
    <t>Firelands Local</t>
  </si>
  <si>
    <t>048165</t>
  </si>
  <si>
    <t>Keystone Local</t>
  </si>
  <si>
    <t>048173</t>
  </si>
  <si>
    <t>Midview Local</t>
  </si>
  <si>
    <t>048207</t>
  </si>
  <si>
    <t>Anthony Wayne Local</t>
  </si>
  <si>
    <t>048215</t>
  </si>
  <si>
    <t>Ottawa Hills Local</t>
  </si>
  <si>
    <t>048223</t>
  </si>
  <si>
    <t>Springfield Local</t>
  </si>
  <si>
    <t>048231</t>
  </si>
  <si>
    <t>048256</t>
  </si>
  <si>
    <t>Jefferson Local</t>
  </si>
  <si>
    <t>048264</t>
  </si>
  <si>
    <t>Jonathan Alder Local</t>
  </si>
  <si>
    <t>048272</t>
  </si>
  <si>
    <t>Madison-Plains Local</t>
  </si>
  <si>
    <t>048298</t>
  </si>
  <si>
    <t>048306</t>
  </si>
  <si>
    <t>Boardman Local</t>
  </si>
  <si>
    <t>048314</t>
  </si>
  <si>
    <t>Canfield Local</t>
  </si>
  <si>
    <t>048322</t>
  </si>
  <si>
    <t>Jackson-Milton Local</t>
  </si>
  <si>
    <t>048330</t>
  </si>
  <si>
    <t>Lowellville Local</t>
  </si>
  <si>
    <t>048348</t>
  </si>
  <si>
    <t>Poland Local</t>
  </si>
  <si>
    <t>048355</t>
  </si>
  <si>
    <t>Sebring Local</t>
  </si>
  <si>
    <t>048363</t>
  </si>
  <si>
    <t>South Range Local</t>
  </si>
  <si>
    <t>048371</t>
  </si>
  <si>
    <t>048389</t>
  </si>
  <si>
    <t>West Branch Local</t>
  </si>
  <si>
    <t>048397</t>
  </si>
  <si>
    <t>048413</t>
  </si>
  <si>
    <t>Elgin Local</t>
  </si>
  <si>
    <t>048421</t>
  </si>
  <si>
    <t>Pleasant Local</t>
  </si>
  <si>
    <t>048439</t>
  </si>
  <si>
    <t>048447</t>
  </si>
  <si>
    <t>River Valley Local</t>
  </si>
  <si>
    <t>048462</t>
  </si>
  <si>
    <t>Black River Local</t>
  </si>
  <si>
    <t>048470</t>
  </si>
  <si>
    <t>048488</t>
  </si>
  <si>
    <t>Cloverleaf Local</t>
  </si>
  <si>
    <t>048496</t>
  </si>
  <si>
    <t>Highland Local</t>
  </si>
  <si>
    <t>048512</t>
  </si>
  <si>
    <t>048520</t>
  </si>
  <si>
    <t>Meigs Local</t>
  </si>
  <si>
    <t>048538</t>
  </si>
  <si>
    <t>048553</t>
  </si>
  <si>
    <t>Marion Local</t>
  </si>
  <si>
    <t>048579</t>
  </si>
  <si>
    <t>Parkway Local</t>
  </si>
  <si>
    <t>048587</t>
  </si>
  <si>
    <t>St Henry Consolidated Local</t>
  </si>
  <si>
    <t>048595</t>
  </si>
  <si>
    <t>Fort Recovery Local</t>
  </si>
  <si>
    <t>048611</t>
  </si>
  <si>
    <t>Bethel Local</t>
  </si>
  <si>
    <t>048629</t>
  </si>
  <si>
    <t>Miami East Local</t>
  </si>
  <si>
    <t>048637</t>
  </si>
  <si>
    <t>Newton Local</t>
  </si>
  <si>
    <t>048652</t>
  </si>
  <si>
    <t>048678</t>
  </si>
  <si>
    <t>Brookville Local</t>
  </si>
  <si>
    <t>048686</t>
  </si>
  <si>
    <t>Jefferson Township Local</t>
  </si>
  <si>
    <t>048694</t>
  </si>
  <si>
    <t>Trotwood-Madison City</t>
  </si>
  <si>
    <t>048702</t>
  </si>
  <si>
    <t>Mad River Local</t>
  </si>
  <si>
    <t>048710</t>
  </si>
  <si>
    <t>New Lebanon Local</t>
  </si>
  <si>
    <t>048728</t>
  </si>
  <si>
    <t>Northmont City</t>
  </si>
  <si>
    <t>048736</t>
  </si>
  <si>
    <t>048744</t>
  </si>
  <si>
    <t>Valley View Local</t>
  </si>
  <si>
    <t>048751</t>
  </si>
  <si>
    <t>Huber Heights City</t>
  </si>
  <si>
    <t>048777</t>
  </si>
  <si>
    <t>Morgan Local</t>
  </si>
  <si>
    <t>048793</t>
  </si>
  <si>
    <t>Cardington-Lincoln Local</t>
  </si>
  <si>
    <t>048801</t>
  </si>
  <si>
    <t>048819</t>
  </si>
  <si>
    <t>Northmor Local</t>
  </si>
  <si>
    <t>048835</t>
  </si>
  <si>
    <t>East Muskingum Local</t>
  </si>
  <si>
    <t>048843</t>
  </si>
  <si>
    <t>048850</t>
  </si>
  <si>
    <t>Maysville Local</t>
  </si>
  <si>
    <t>048876</t>
  </si>
  <si>
    <t>048884</t>
  </si>
  <si>
    <t>West Muskingum Local</t>
  </si>
  <si>
    <t>048900</t>
  </si>
  <si>
    <t>Noble Local</t>
  </si>
  <si>
    <t>048926</t>
  </si>
  <si>
    <t>Benton Carroll Salem Local</t>
  </si>
  <si>
    <t>048934</t>
  </si>
  <si>
    <t>Danbury Local</t>
  </si>
  <si>
    <t>048942</t>
  </si>
  <si>
    <t>Genoa Area Local</t>
  </si>
  <si>
    <t>048975</t>
  </si>
  <si>
    <t>Put-In-Bay Local</t>
  </si>
  <si>
    <t>048991</t>
  </si>
  <si>
    <t>Antwerp Local</t>
  </si>
  <si>
    <t>049031</t>
  </si>
  <si>
    <t>Wayne Trace Local</t>
  </si>
  <si>
    <t>049056</t>
  </si>
  <si>
    <t>Northern Local</t>
  </si>
  <si>
    <t>049064</t>
  </si>
  <si>
    <t>049080</t>
  </si>
  <si>
    <t>Logan Elm Local</t>
  </si>
  <si>
    <t>049098</t>
  </si>
  <si>
    <t>Teays Valley Local</t>
  </si>
  <si>
    <t>049106</t>
  </si>
  <si>
    <t>Westfall Local</t>
  </si>
  <si>
    <t>049122</t>
  </si>
  <si>
    <t>049130</t>
  </si>
  <si>
    <t>Scioto Valley Local</t>
  </si>
  <si>
    <t>049148</t>
  </si>
  <si>
    <t>Waverly City</t>
  </si>
  <si>
    <t>049155</t>
  </si>
  <si>
    <t>Western Local</t>
  </si>
  <si>
    <t>049171</t>
  </si>
  <si>
    <t>Aurora City</t>
  </si>
  <si>
    <t>049189</t>
  </si>
  <si>
    <t>Crestwood Local</t>
  </si>
  <si>
    <t>049197</t>
  </si>
  <si>
    <t>Field Local</t>
  </si>
  <si>
    <t>049205</t>
  </si>
  <si>
    <t>James A Garfield Local</t>
  </si>
  <si>
    <t>049213</t>
  </si>
  <si>
    <t>Rootstown Local</t>
  </si>
  <si>
    <t>049221</t>
  </si>
  <si>
    <t>Southeast Local</t>
  </si>
  <si>
    <t>049239</t>
  </si>
  <si>
    <t>Streetsboro City</t>
  </si>
  <si>
    <t>049247</t>
  </si>
  <si>
    <t>Waterloo Local</t>
  </si>
  <si>
    <t>049270</t>
  </si>
  <si>
    <t>National Trail Local</t>
  </si>
  <si>
    <t>049288</t>
  </si>
  <si>
    <t>Preble Shawnee Local</t>
  </si>
  <si>
    <t>049296</t>
  </si>
  <si>
    <t>Twin Valley Community Local</t>
  </si>
  <si>
    <t>049312</t>
  </si>
  <si>
    <t>Columbus Grove Local</t>
  </si>
  <si>
    <t>049320</t>
  </si>
  <si>
    <t>Continental Local</t>
  </si>
  <si>
    <t>049338</t>
  </si>
  <si>
    <t>Jennings Local</t>
  </si>
  <si>
    <t>049346</t>
  </si>
  <si>
    <t>Kalida Local</t>
  </si>
  <si>
    <t>049353</t>
  </si>
  <si>
    <t>Leipsic Local</t>
  </si>
  <si>
    <t>049361</t>
  </si>
  <si>
    <t>049379</t>
  </si>
  <si>
    <t>Ottawa-Glandorf Local</t>
  </si>
  <si>
    <t>049387</t>
  </si>
  <si>
    <t>Ottoville Local</t>
  </si>
  <si>
    <t>049395</t>
  </si>
  <si>
    <t>Pandora-Gilboa Local</t>
  </si>
  <si>
    <t>049411</t>
  </si>
  <si>
    <t>Clear Fork Valley Local</t>
  </si>
  <si>
    <t>049429</t>
  </si>
  <si>
    <t>049437</t>
  </si>
  <si>
    <t>Lexington Local</t>
  </si>
  <si>
    <t>049445</t>
  </si>
  <si>
    <t>Lucas Local</t>
  </si>
  <si>
    <t>049452</t>
  </si>
  <si>
    <t>049460</t>
  </si>
  <si>
    <t>Plymouth-Shiloh Local</t>
  </si>
  <si>
    <t>049478</t>
  </si>
  <si>
    <t>Ontario Local</t>
  </si>
  <si>
    <t>049494</t>
  </si>
  <si>
    <t>Adena Local</t>
  </si>
  <si>
    <t>049502</t>
  </si>
  <si>
    <t>Huntington Local</t>
  </si>
  <si>
    <t>049510</t>
  </si>
  <si>
    <t>Paint Valley Local</t>
  </si>
  <si>
    <t>049528</t>
  </si>
  <si>
    <t>049536</t>
  </si>
  <si>
    <t>Union-Scioto Local</t>
  </si>
  <si>
    <t>049544</t>
  </si>
  <si>
    <t>Zane Trace Local</t>
  </si>
  <si>
    <t>049569</t>
  </si>
  <si>
    <t>049577</t>
  </si>
  <si>
    <t>Woodmore Local</t>
  </si>
  <si>
    <t>049593</t>
  </si>
  <si>
    <t>Bloom-Vernon Local</t>
  </si>
  <si>
    <t>049601</t>
  </si>
  <si>
    <t>Clay Local</t>
  </si>
  <si>
    <t>049619</t>
  </si>
  <si>
    <t>Green Local</t>
  </si>
  <si>
    <t>049627</t>
  </si>
  <si>
    <t>Minford Local</t>
  </si>
  <si>
    <t>049635</t>
  </si>
  <si>
    <t>049643</t>
  </si>
  <si>
    <t>Valley Local</t>
  </si>
  <si>
    <t>049650</t>
  </si>
  <si>
    <t>Washington-Nile Local</t>
  </si>
  <si>
    <t>049668</t>
  </si>
  <si>
    <t>Wheelersburg Local</t>
  </si>
  <si>
    <t>049684</t>
  </si>
  <si>
    <t>Seneca East Local</t>
  </si>
  <si>
    <t>049700</t>
  </si>
  <si>
    <t>Hopewell-Loudon Local</t>
  </si>
  <si>
    <t>049718</t>
  </si>
  <si>
    <t>New Riegel Local</t>
  </si>
  <si>
    <t>049726</t>
  </si>
  <si>
    <t>Old Fort Local</t>
  </si>
  <si>
    <t>049759</t>
  </si>
  <si>
    <t>Anna Local</t>
  </si>
  <si>
    <t>049767</t>
  </si>
  <si>
    <t>Botkins Local</t>
  </si>
  <si>
    <t>049775</t>
  </si>
  <si>
    <t>Fairlawn Local</t>
  </si>
  <si>
    <t>049783</t>
  </si>
  <si>
    <t>Fort Loramie Local</t>
  </si>
  <si>
    <t>049791</t>
  </si>
  <si>
    <t>Hardin-Houston Local</t>
  </si>
  <si>
    <t>049809</t>
  </si>
  <si>
    <t>Jackson Center Local</t>
  </si>
  <si>
    <t>049817</t>
  </si>
  <si>
    <t>Russia Local</t>
  </si>
  <si>
    <t>049833</t>
  </si>
  <si>
    <t>Canton Local</t>
  </si>
  <si>
    <t>049841</t>
  </si>
  <si>
    <t>Fairless Local</t>
  </si>
  <si>
    <t>049858</t>
  </si>
  <si>
    <t>Jackson Local</t>
  </si>
  <si>
    <t>049866</t>
  </si>
  <si>
    <t>Lake Local</t>
  </si>
  <si>
    <t>049874</t>
  </si>
  <si>
    <t>Louisville City</t>
  </si>
  <si>
    <t>049882</t>
  </si>
  <si>
    <t>Marlington Local</t>
  </si>
  <si>
    <t>049890</t>
  </si>
  <si>
    <t>Minerva Local</t>
  </si>
  <si>
    <t>049908</t>
  </si>
  <si>
    <t>049916</t>
  </si>
  <si>
    <t>Osnaburg Local</t>
  </si>
  <si>
    <t>049924</t>
  </si>
  <si>
    <t>049932</t>
  </si>
  <si>
    <t>Plain Local</t>
  </si>
  <si>
    <t>049940</t>
  </si>
  <si>
    <t>Sandy Valley Local</t>
  </si>
  <si>
    <t>049957</t>
  </si>
  <si>
    <t>Tuslaw Local</t>
  </si>
  <si>
    <t>049973</t>
  </si>
  <si>
    <t>Woodridge Local</t>
  </si>
  <si>
    <t>049981</t>
  </si>
  <si>
    <t>Copley-Fairlawn City</t>
  </si>
  <si>
    <t>049999</t>
  </si>
  <si>
    <t>Coventry Local</t>
  </si>
  <si>
    <t>050005</t>
  </si>
  <si>
    <t>050013</t>
  </si>
  <si>
    <t>050021</t>
  </si>
  <si>
    <t>Hudson City</t>
  </si>
  <si>
    <t>050039</t>
  </si>
  <si>
    <t>Mogadore Local</t>
  </si>
  <si>
    <t>050047</t>
  </si>
  <si>
    <t>Nordonia Hills City</t>
  </si>
  <si>
    <t>050054</t>
  </si>
  <si>
    <t>Revere Local</t>
  </si>
  <si>
    <t>050062</t>
  </si>
  <si>
    <t>050070</t>
  </si>
  <si>
    <t>Twinsburg City</t>
  </si>
  <si>
    <t>050096</t>
  </si>
  <si>
    <t>Bloomfield-Mespo Local</t>
  </si>
  <si>
    <t>050112</t>
  </si>
  <si>
    <t>Bristol Local</t>
  </si>
  <si>
    <t>050120</t>
  </si>
  <si>
    <t>050138</t>
  </si>
  <si>
    <t>Champion Local</t>
  </si>
  <si>
    <t>050153</t>
  </si>
  <si>
    <t>Mathews Local</t>
  </si>
  <si>
    <t>050161</t>
  </si>
  <si>
    <t>Howland Local</t>
  </si>
  <si>
    <t>050179</t>
  </si>
  <si>
    <t>Joseph Badger Local</t>
  </si>
  <si>
    <t>050187</t>
  </si>
  <si>
    <t>Lakeview Local</t>
  </si>
  <si>
    <t>050195</t>
  </si>
  <si>
    <t>Liberty Local</t>
  </si>
  <si>
    <t>050203</t>
  </si>
  <si>
    <t>Lordstown Local</t>
  </si>
  <si>
    <t>050211</t>
  </si>
  <si>
    <t>Maplewood Local</t>
  </si>
  <si>
    <t>050229</t>
  </si>
  <si>
    <t>050237</t>
  </si>
  <si>
    <t>Southington Local</t>
  </si>
  <si>
    <t>050245</t>
  </si>
  <si>
    <t>050252</t>
  </si>
  <si>
    <t>Weathersfield Local</t>
  </si>
  <si>
    <t>050278</t>
  </si>
  <si>
    <t>Garaway Local</t>
  </si>
  <si>
    <t>050286</t>
  </si>
  <si>
    <t>050294</t>
  </si>
  <si>
    <t>Strasburg-Franklin Local</t>
  </si>
  <si>
    <t>050302</t>
  </si>
  <si>
    <t>Tuscarawas Valley Local</t>
  </si>
  <si>
    <t>050328</t>
  </si>
  <si>
    <t>Fairbanks Local</t>
  </si>
  <si>
    <t>050336</t>
  </si>
  <si>
    <t>050351</t>
  </si>
  <si>
    <t>050369</t>
  </si>
  <si>
    <t>Lincolnview Local</t>
  </si>
  <si>
    <t>050393</t>
  </si>
  <si>
    <t>Vinton County Local</t>
  </si>
  <si>
    <t>050419</t>
  </si>
  <si>
    <t>Carlisle Local</t>
  </si>
  <si>
    <t>050427</t>
  </si>
  <si>
    <t>Springboro Community City</t>
  </si>
  <si>
    <t>050435</t>
  </si>
  <si>
    <t>Kings Local</t>
  </si>
  <si>
    <t>050443</t>
  </si>
  <si>
    <t>Little Miami Local</t>
  </si>
  <si>
    <t>050450</t>
  </si>
  <si>
    <t>050468</t>
  </si>
  <si>
    <t>Wayne Local</t>
  </si>
  <si>
    <t>050484</t>
  </si>
  <si>
    <t>Fort Frye Local</t>
  </si>
  <si>
    <t>050492</t>
  </si>
  <si>
    <t>Frontier Local</t>
  </si>
  <si>
    <t>050500</t>
  </si>
  <si>
    <t>Warren Local</t>
  </si>
  <si>
    <t>050518</t>
  </si>
  <si>
    <t>Wolf Creek Local</t>
  </si>
  <si>
    <t>050534</t>
  </si>
  <si>
    <t>Chippewa Local</t>
  </si>
  <si>
    <t>050542</t>
  </si>
  <si>
    <t>Dalton Local</t>
  </si>
  <si>
    <t>050559</t>
  </si>
  <si>
    <t>050567</t>
  </si>
  <si>
    <t>Norwayne Local</t>
  </si>
  <si>
    <t>050575</t>
  </si>
  <si>
    <t>050583</t>
  </si>
  <si>
    <t>050591</t>
  </si>
  <si>
    <t>Triway Local</t>
  </si>
  <si>
    <t>050617</t>
  </si>
  <si>
    <t>Edgerton Local</t>
  </si>
  <si>
    <t>050625</t>
  </si>
  <si>
    <t>Edon Northwest Local</t>
  </si>
  <si>
    <t>050633</t>
  </si>
  <si>
    <t>Millcreek-West Unity Local</t>
  </si>
  <si>
    <t>050641</t>
  </si>
  <si>
    <t>North Central Local</t>
  </si>
  <si>
    <t>050658</t>
  </si>
  <si>
    <t>Stryker Local</t>
  </si>
  <si>
    <t>050674</t>
  </si>
  <si>
    <t>Eastwood Local</t>
  </si>
  <si>
    <t>050682</t>
  </si>
  <si>
    <t>Elmwood Local</t>
  </si>
  <si>
    <t>050690</t>
  </si>
  <si>
    <t>050708</t>
  </si>
  <si>
    <t>North Baltimore Local</t>
  </si>
  <si>
    <t>050716</t>
  </si>
  <si>
    <t>050724</t>
  </si>
  <si>
    <t>Otsego Local</t>
  </si>
  <si>
    <t>050740</t>
  </si>
  <si>
    <t>Mohawk Local</t>
  </si>
  <si>
    <t>061903</t>
  </si>
  <si>
    <t>065680</t>
  </si>
  <si>
    <t>Gallia County Local</t>
  </si>
  <si>
    <t>069682</t>
  </si>
  <si>
    <t>East Guernsey Local</t>
  </si>
  <si>
    <t>091397</t>
  </si>
  <si>
    <t>Tri-County North Local</t>
  </si>
  <si>
    <t>139303</t>
  </si>
  <si>
    <t>011506</t>
  </si>
  <si>
    <t>STEM</t>
  </si>
  <si>
    <t>012391</t>
  </si>
  <si>
    <t>Metro Early College High School</t>
  </si>
  <si>
    <t>013930</t>
  </si>
  <si>
    <t>014231</t>
  </si>
  <si>
    <t>000598</t>
  </si>
  <si>
    <t>Coshocton Opportunity School</t>
  </si>
  <si>
    <t>143602</t>
  </si>
  <si>
    <t>Hamilton Cnty Math &amp; Science</t>
  </si>
  <si>
    <t>043828</t>
  </si>
  <si>
    <t>Coshocton City</t>
  </si>
  <si>
    <t>Community School</t>
  </si>
  <si>
    <t>000138</t>
  </si>
  <si>
    <t>015234</t>
  </si>
  <si>
    <t>Zenith Academy West</t>
  </si>
  <si>
    <t>015237</t>
  </si>
  <si>
    <t>Flex High School</t>
  </si>
  <si>
    <t>015261</t>
  </si>
  <si>
    <t>Citizens Academy Southeast</t>
  </si>
  <si>
    <t>015329</t>
  </si>
  <si>
    <t>Youngstown City</t>
  </si>
  <si>
    <t>Bellbrook-Sugarcreek Local</t>
  </si>
  <si>
    <t>Miller City-New Cleveland Local</t>
  </si>
  <si>
    <t>Indian Valley Local</t>
  </si>
  <si>
    <t>Mason City</t>
  </si>
  <si>
    <t>Great Oaks Career Campuses</t>
  </si>
  <si>
    <t>Adams County Ohio Valley Local</t>
  </si>
  <si>
    <t>Monroe Local</t>
  </si>
  <si>
    <t>Summit Academy - Toledo</t>
  </si>
  <si>
    <t>Summit Academy Community School-Warren</t>
  </si>
  <si>
    <t>Summit Academy School - Lorain</t>
  </si>
  <si>
    <t>Wings Academy 1</t>
  </si>
  <si>
    <t>Monroe Preparatory Academy</t>
  </si>
  <si>
    <t>Cleveland Preparatory Academy</t>
  </si>
  <si>
    <t>Main Preparatory Academy</t>
  </si>
  <si>
    <t>014830</t>
  </si>
  <si>
    <t>015709</t>
  </si>
  <si>
    <t>Beacon Academy</t>
  </si>
  <si>
    <t>015710</t>
  </si>
  <si>
    <t>Bridge Gate Community School</t>
  </si>
  <si>
    <t>015713</t>
  </si>
  <si>
    <t>015714</t>
  </si>
  <si>
    <t>Urban Early College Network</t>
  </si>
  <si>
    <t>015722</t>
  </si>
  <si>
    <t>Village Preparatory School Willard</t>
  </si>
  <si>
    <t>015736</t>
  </si>
  <si>
    <t>015737</t>
  </si>
  <si>
    <t>Global Ambassadors Language Academy</t>
  </si>
  <si>
    <t>015741</t>
  </si>
  <si>
    <t>Westwood Preparatory Academy</t>
  </si>
  <si>
    <t>Trotwood Preparatory &amp; Fitness Academy</t>
  </si>
  <si>
    <t>Middletown Preparatory &amp; Fitness Academy</t>
  </si>
  <si>
    <t>Bowling Green City School District</t>
  </si>
  <si>
    <t>Cleveland Municipal</t>
  </si>
  <si>
    <t>Columbus City School District</t>
  </si>
  <si>
    <t>East Cleveland City School District</t>
  </si>
  <si>
    <t>Elyria City Schools</t>
  </si>
  <si>
    <t>Garfield Heights City Schools</t>
  </si>
  <si>
    <t>Girard City School District</t>
  </si>
  <si>
    <t>Grandview Heights Schools</t>
  </si>
  <si>
    <t>Huron City Schools</t>
  </si>
  <si>
    <t>Kettering City School District</t>
  </si>
  <si>
    <t>New Lexington School District</t>
  </si>
  <si>
    <t>Oberlin City Schools</t>
  </si>
  <si>
    <t>Springfield City School District</t>
  </si>
  <si>
    <t>Stow-Munroe Falls City School District</t>
  </si>
  <si>
    <t>Sylvania Schools</t>
  </si>
  <si>
    <t>Carey Exempted Village Schools</t>
  </si>
  <si>
    <t>Austintown Local Schools</t>
  </si>
  <si>
    <t>Eastern Local School District</t>
  </si>
  <si>
    <t>North Union Local School District</t>
  </si>
  <si>
    <t>Northwood Local Schools</t>
  </si>
  <si>
    <t>014943</t>
  </si>
  <si>
    <t>015712</t>
  </si>
  <si>
    <t>Euclid Preparatory School</t>
  </si>
  <si>
    <t>016829</t>
  </si>
  <si>
    <t>South Columbus Preparatory Academy</t>
  </si>
  <si>
    <t>016836</t>
  </si>
  <si>
    <t>Kids Care Elementary</t>
  </si>
  <si>
    <t>016837</t>
  </si>
  <si>
    <t>Orchard Park Academy</t>
  </si>
  <si>
    <t>016843</t>
  </si>
  <si>
    <t>Citizens Leadership Academy East</t>
  </si>
  <si>
    <t>016849</t>
  </si>
  <si>
    <t>Liberty High School</t>
  </si>
  <si>
    <t>016850</t>
  </si>
  <si>
    <t>Southwest Ohio Preparatory School</t>
  </si>
  <si>
    <t>016858</t>
  </si>
  <si>
    <t>United Preparatory Academy East</t>
  </si>
  <si>
    <t>015344</t>
  </si>
  <si>
    <t>Pathway School of Discovery</t>
  </si>
  <si>
    <t>Alliance Academy of Cincinnati</t>
  </si>
  <si>
    <t>Buckeye On-Line School for Success</t>
  </si>
  <si>
    <t>Whitehall Preparatory and Fitness Academy</t>
  </si>
  <si>
    <t>Springfield Preparatory and Fitness Academy</t>
  </si>
  <si>
    <t>Northland Preparatory and Fitness Academy</t>
  </si>
  <si>
    <t>Cleveland Academy for Scholarship Technology and Leadership</t>
  </si>
  <si>
    <t>Columbus Humanities, Arts and Technology Academy</t>
  </si>
  <si>
    <t xml:space="preserve">Emerson Academy </t>
  </si>
  <si>
    <t>Summit Academy Alternative LearnersWarren Middle &amp; Secondary</t>
  </si>
  <si>
    <t>Life Skills Center of Columbus Southeast</t>
  </si>
  <si>
    <t>Maritime Academy of Toledo, The</t>
  </si>
  <si>
    <t>Educational Academy for Boys &amp; Girls</t>
  </si>
  <si>
    <t>Life Skills Center of Dayton</t>
  </si>
  <si>
    <t>Interactive Media &amp; Construction (IMAC)</t>
  </si>
  <si>
    <t>East Bridge Academy of Excellence</t>
  </si>
  <si>
    <t>Toledo Preparatory and Fitness Academy</t>
  </si>
  <si>
    <t>Columbus Preparatory and Fitness Academy</t>
  </si>
  <si>
    <t>Mt. Healthy Preparatory and Fitness Academy</t>
  </si>
  <si>
    <t>Youngstown Academy of Excellence</t>
  </si>
  <si>
    <t>Cleveland Arts and Social Sciences Academy</t>
  </si>
  <si>
    <t>Charles School at Ohio Dominican University</t>
  </si>
  <si>
    <t>Life Skills Center of North Akron</t>
  </si>
  <si>
    <t>Life Skills Center of Columbus North</t>
  </si>
  <si>
    <t>Constellation Schools: Westside Community School of the Arts</t>
  </si>
  <si>
    <t>Central Academy of Ohio</t>
  </si>
  <si>
    <t>Madison Avenue School of Arts</t>
  </si>
  <si>
    <t>KIPP Columbus</t>
  </si>
  <si>
    <t>L. Hollingworth School for Talented and Gifted</t>
  </si>
  <si>
    <t>Bella Academy of Excellence</t>
  </si>
  <si>
    <t>The Richland School of Academic Arts</t>
  </si>
  <si>
    <t>Graham Elementary and Middle School</t>
  </si>
  <si>
    <t xml:space="preserve">Horizon Science Academy Dayton Downtown </t>
  </si>
  <si>
    <t>Road to Success Academy</t>
  </si>
  <si>
    <t>Frederick Douglass High School</t>
  </si>
  <si>
    <t xml:space="preserve">North Central Academy </t>
  </si>
  <si>
    <t>The Academy for Urban Scholars</t>
  </si>
  <si>
    <t>University of Cleveland Preparatory School</t>
  </si>
  <si>
    <t>STEAM Academy of Akron</t>
  </si>
  <si>
    <t>STEAM Academy of Warren</t>
  </si>
  <si>
    <t>DECA PREP</t>
  </si>
  <si>
    <t>STEAM Academy of Warrensville Heights</t>
  </si>
  <si>
    <t>Hope Academy for Autism</t>
  </si>
  <si>
    <t>SunBridge Schools</t>
  </si>
  <si>
    <t>Academy of Educational Excellence</t>
  </si>
  <si>
    <t>A+ Children's Academy</t>
  </si>
  <si>
    <t>Academy for Urban Scholars Youngstown</t>
  </si>
  <si>
    <t>Albert Einstein Academy for Letters, Arts and Sciences-Ohio</t>
  </si>
  <si>
    <t>Eastland Preparatory Academy</t>
  </si>
  <si>
    <t>Hope Learning Academy of Toledo</t>
  </si>
  <si>
    <t>Dayton SMART Elementary School</t>
  </si>
  <si>
    <t>Utica Shale Academy of Ohio</t>
  </si>
  <si>
    <t>East Branch Preparatory AcademydbaWright Preparatory Academy</t>
  </si>
  <si>
    <t>iLEAD Spring Meadows</t>
  </si>
  <si>
    <t>016812</t>
  </si>
  <si>
    <t>SMART Academy</t>
  </si>
  <si>
    <t>017123</t>
  </si>
  <si>
    <t>Horizon Science Academy Primary</t>
  </si>
  <si>
    <t>017212</t>
  </si>
  <si>
    <t>Academy of Junior Scholars</t>
  </si>
  <si>
    <t>017233</t>
  </si>
  <si>
    <t>Great River Connections Academy</t>
  </si>
  <si>
    <t>017259</t>
  </si>
  <si>
    <t>Montgomery Preparatory Academy</t>
  </si>
  <si>
    <t>017270</t>
  </si>
  <si>
    <t>Lorain Bilingual Preparatory Academy</t>
  </si>
  <si>
    <t>017274</t>
  </si>
  <si>
    <t>Mount Auburn Preparatory Academy</t>
  </si>
  <si>
    <t>017275</t>
  </si>
  <si>
    <t>AchievePoint Career Academy - Cincinnati</t>
  </si>
  <si>
    <t>Summit Acdy Comm Schl for Alternative Learners of Middletown</t>
  </si>
  <si>
    <t>YB Columbus Community School</t>
  </si>
  <si>
    <t>Summit Academy Community School for Alternative Learn-Canton</t>
  </si>
  <si>
    <t>Stark High School</t>
  </si>
  <si>
    <t>Life Skills Center of Elyria</t>
  </si>
  <si>
    <t>Focus Learning Academy of Southwest Columbus</t>
  </si>
  <si>
    <t>Focus Learning Academy of Southeastern Columbus</t>
  </si>
  <si>
    <t>Focus Learning Academy of Northern Columbus</t>
  </si>
  <si>
    <t>TRECA Digital Academy</t>
  </si>
  <si>
    <t>West Central Learning Academy II</t>
  </si>
  <si>
    <t>Ashtabula County Technical and Career Center</t>
  </si>
  <si>
    <t>EHOVE Career Center</t>
  </si>
  <si>
    <t>Knox County JVSD</t>
  </si>
  <si>
    <t>Career and Technology Educational Centers</t>
  </si>
  <si>
    <t>Lorain County JVS</t>
  </si>
  <si>
    <t>Mid-East Career and Technology Centers</t>
  </si>
  <si>
    <t>Pickaway-Ross County JVSD</t>
  </si>
  <si>
    <t>Wayne County JVSD</t>
  </si>
  <si>
    <t xml:space="preserve">Portage Lakes </t>
  </si>
  <si>
    <t xml:space="preserve">Bellefontaine City </t>
  </si>
  <si>
    <t>Cincinnati Public Schools</t>
  </si>
  <si>
    <t xml:space="preserve">Fairborn City </t>
  </si>
  <si>
    <t xml:space="preserve">Gallipolis City </t>
  </si>
  <si>
    <t xml:space="preserve">Greenville City </t>
  </si>
  <si>
    <t>Ironton City School District</t>
  </si>
  <si>
    <t>Medina City SD</t>
  </si>
  <si>
    <t xml:space="preserve">Norwood City </t>
  </si>
  <si>
    <t xml:space="preserve">Wadsworth City </t>
  </si>
  <si>
    <t xml:space="preserve">Wellston City </t>
  </si>
  <si>
    <t xml:space="preserve">Orange City </t>
  </si>
  <si>
    <t xml:space="preserve">Arcanum-Butler Local </t>
  </si>
  <si>
    <t xml:space="preserve">Ayersville Local </t>
  </si>
  <si>
    <t xml:space="preserve">Central Local </t>
  </si>
  <si>
    <t>Edison Local (formerly Berlin-Milan)</t>
  </si>
  <si>
    <t xml:space="preserve">Northwest Local </t>
  </si>
  <si>
    <t xml:space="preserve">Oak Hills Local </t>
  </si>
  <si>
    <t xml:space="preserve">Three Rivers Local </t>
  </si>
  <si>
    <t>McComb Local</t>
  </si>
  <si>
    <t xml:space="preserve">East Holmes Local </t>
  </si>
  <si>
    <t xml:space="preserve">Buckeye Local </t>
  </si>
  <si>
    <t xml:space="preserve">Danville Local </t>
  </si>
  <si>
    <t xml:space="preserve">Madison Local </t>
  </si>
  <si>
    <t xml:space="preserve">Fairland Local </t>
  </si>
  <si>
    <t xml:space="preserve">Washington Local </t>
  </si>
  <si>
    <t xml:space="preserve">Ridgedale Local </t>
  </si>
  <si>
    <t>Switzerland of Ohio Local</t>
  </si>
  <si>
    <t xml:space="preserve">Franklin Local </t>
  </si>
  <si>
    <t xml:space="preserve">Tri-Valley Local </t>
  </si>
  <si>
    <t xml:space="preserve">Brookfield Local </t>
  </si>
  <si>
    <t>McDonald Local</t>
  </si>
  <si>
    <t>LaBrae Local</t>
  </si>
  <si>
    <t>Dayton Regional STEM School</t>
  </si>
  <si>
    <t>Global Impact STEM Academy</t>
  </si>
  <si>
    <t>Bio-Med Science Academy STEM School</t>
  </si>
  <si>
    <t>Valley STEM+ME2 Academy</t>
  </si>
  <si>
    <t>iSTEM Geauga Early College High School</t>
  </si>
  <si>
    <t>Tri-State STEM+M Early College High School</t>
  </si>
  <si>
    <t>CRF Transportation Funding</t>
  </si>
  <si>
    <t>CRF Funding</t>
  </si>
  <si>
    <t>Per Pupil CRF Funding</t>
  </si>
  <si>
    <t>Unweighted FY19 Enrollment</t>
  </si>
  <si>
    <t>Weighted Enrollment</t>
  </si>
  <si>
    <t>Weighted Enrollment as a % of Unweighted Enrollment</t>
  </si>
  <si>
    <t>Typology</t>
  </si>
  <si>
    <t>JVSD</t>
  </si>
  <si>
    <t>Row Labels</t>
  </si>
  <si>
    <t>Grand Total</t>
  </si>
  <si>
    <t xml:space="preserve"> Total CRF Funding</t>
  </si>
  <si>
    <t>0 - Island</t>
  </si>
  <si>
    <t>1 - Rural High Poverty</t>
  </si>
  <si>
    <t>2 - Rural Average Poverty</t>
  </si>
  <si>
    <t>3 - Small Town - Low Poverty</t>
  </si>
  <si>
    <t>4 - Small Town - High Poverty</t>
  </si>
  <si>
    <t>5 - Suburban - Low Poverty</t>
  </si>
  <si>
    <t>6 - Suburban - Very Low Poverty</t>
  </si>
  <si>
    <t>8 - Urban 8</t>
  </si>
  <si>
    <t>7 - Urban - High Poverty</t>
  </si>
  <si>
    <t>Count</t>
  </si>
  <si>
    <t>Total</t>
  </si>
  <si>
    <t>Meigs County Board of DD</t>
  </si>
  <si>
    <t>Scioto County Board of DD</t>
  </si>
  <si>
    <t>Pike County Board of DD</t>
  </si>
  <si>
    <t>Lawrence County Bd of DD</t>
  </si>
  <si>
    <t>Wayne Co Bd Of DD</t>
  </si>
  <si>
    <t>Tuscarawas Co Bd Of DD</t>
  </si>
  <si>
    <t>Huron County Board of DD</t>
  </si>
  <si>
    <t>Guernsey County Board of DD</t>
  </si>
  <si>
    <t>Crawford County Board of DD</t>
  </si>
  <si>
    <t>Carroll County Board of DD</t>
  </si>
  <si>
    <t>Gallia County Board of DD</t>
  </si>
  <si>
    <t>Lake County Board of DD</t>
  </si>
  <si>
    <t>Portage County Board of DD</t>
  </si>
  <si>
    <t>Ashland County Board of DD</t>
  </si>
  <si>
    <t>Ashtabula County Board of DD</t>
  </si>
  <si>
    <t>Fairfield County Board of DD</t>
  </si>
  <si>
    <t>Hamilton County Board of DD</t>
  </si>
  <si>
    <t>Muskingum County Bd of DD</t>
  </si>
  <si>
    <t>Stark County Board of DD</t>
  </si>
  <si>
    <t>Wood County Board of DD</t>
  </si>
  <si>
    <t>Wyandot Co Bd Of DD</t>
  </si>
  <si>
    <t>Washington Co Bd of DD</t>
  </si>
  <si>
    <t>Trumbull County Board of DD</t>
  </si>
  <si>
    <t>Seneca County Board of DD</t>
  </si>
  <si>
    <t>Sandusky County Bd of DD</t>
  </si>
  <si>
    <t>Ross County Board of DD</t>
  </si>
  <si>
    <t>Pickaway County Bd of DD</t>
  </si>
  <si>
    <t>Monroe County Board of DD</t>
  </si>
  <si>
    <t>Medina County Board of DD</t>
  </si>
  <si>
    <t>Mahoning County Board of DD</t>
  </si>
  <si>
    <t>Madison County Board of DD</t>
  </si>
  <si>
    <t>Lorain County Board of DD</t>
  </si>
  <si>
    <t>Jefferson County Board of DD</t>
  </si>
  <si>
    <t>Jackson County Board of DD</t>
  </si>
  <si>
    <t>Holmes County Board of DD</t>
  </si>
  <si>
    <t>Hardin County Board of DD</t>
  </si>
  <si>
    <t>Hancock County Board of DD</t>
  </si>
  <si>
    <t>Geauga County Board of DD</t>
  </si>
  <si>
    <t>Franklin County Board of DD</t>
  </si>
  <si>
    <t>Defiance County Board of DD</t>
  </si>
  <si>
    <t>Coshocton County Board of DD</t>
  </si>
  <si>
    <t>Columbiana County Board of DD</t>
  </si>
  <si>
    <t>Clermont County Board of DD</t>
  </si>
  <si>
    <t>Belmont County Board of DD</t>
  </si>
  <si>
    <t>Athens County Board of DD</t>
  </si>
  <si>
    <t>Allen County Board of DD</t>
  </si>
  <si>
    <t>Weighted ADM</t>
  </si>
  <si>
    <t>SPED 6 Weight</t>
  </si>
  <si>
    <t>SPED 6</t>
  </si>
  <si>
    <t>SPED 5 Weight</t>
  </si>
  <si>
    <t>SPED 5</t>
  </si>
  <si>
    <t>SPED 4 Weight</t>
  </si>
  <si>
    <t>SPED 4</t>
  </si>
  <si>
    <t>SPED 3 Weight</t>
  </si>
  <si>
    <t>SPED 3</t>
  </si>
  <si>
    <t>SPED 2 Weight</t>
  </si>
  <si>
    <t>SPED 2</t>
  </si>
  <si>
    <t>SPED 1 Weight</t>
  </si>
  <si>
    <t>SPED 1</t>
  </si>
  <si>
    <t>Unweighted ADM</t>
  </si>
  <si>
    <t>CBDD Name</t>
  </si>
  <si>
    <t>County Board of DD</t>
  </si>
  <si>
    <t>CBDD</t>
  </si>
  <si>
    <t>Monroe Local SD</t>
  </si>
  <si>
    <t>Tri-County North Local SD</t>
  </si>
  <si>
    <t>East Guernsey Local SD</t>
  </si>
  <si>
    <t>Gallia County Local SD</t>
  </si>
  <si>
    <t>Ohio Valley Local SD</t>
  </si>
  <si>
    <t>Mohawk Local SD</t>
  </si>
  <si>
    <t>Otsego Local SD</t>
  </si>
  <si>
    <t>Northwood Local SD</t>
  </si>
  <si>
    <t>North Baltimore Local SD</t>
  </si>
  <si>
    <t>Lake Local SD</t>
  </si>
  <si>
    <t>Elmwood Local SD</t>
  </si>
  <si>
    <t>Eastwood Local SD</t>
  </si>
  <si>
    <t>Stryker Local SD</t>
  </si>
  <si>
    <t>North Central Local SD</t>
  </si>
  <si>
    <t>Millcreek-West Unity Local S</t>
  </si>
  <si>
    <t>Edon-Northwest Local SD</t>
  </si>
  <si>
    <t>Edgerton Local SD</t>
  </si>
  <si>
    <t>Triway Local SD</t>
  </si>
  <si>
    <t>Southeast Local SD</t>
  </si>
  <si>
    <t>Northwestern Local SD</t>
  </si>
  <si>
    <t>Norwayne Local SD</t>
  </si>
  <si>
    <t>Green Local SD</t>
  </si>
  <si>
    <t>Dalton Local SD</t>
  </si>
  <si>
    <t>Chippewa Local SD</t>
  </si>
  <si>
    <t>Wolf Creek Local SD</t>
  </si>
  <si>
    <t>Warren Local SD</t>
  </si>
  <si>
    <t>Frontier Local SD</t>
  </si>
  <si>
    <t>Fort Frye Local SD</t>
  </si>
  <si>
    <t>Wayne Local SD</t>
  </si>
  <si>
    <t>Mason City SD</t>
  </si>
  <si>
    <t>Little Miami Local SD</t>
  </si>
  <si>
    <t>Kings Local SD</t>
  </si>
  <si>
    <t>Springboro Community City SD</t>
  </si>
  <si>
    <t>Carlisle Local SD</t>
  </si>
  <si>
    <t>Vinton County Local SD</t>
  </si>
  <si>
    <t>Lincolnview Local SD</t>
  </si>
  <si>
    <t>Crestview Local SD</t>
  </si>
  <si>
    <t>North Union Local SD</t>
  </si>
  <si>
    <t>Fairbanks Local SD</t>
  </si>
  <si>
    <t>Tuscarawas Valley Local SD</t>
  </si>
  <si>
    <t>Strasburg-Franklin Local SD</t>
  </si>
  <si>
    <t>Indian Valley Local SD</t>
  </si>
  <si>
    <t>Garaway Local SD</t>
  </si>
  <si>
    <t>Weathersfield Local SD</t>
  </si>
  <si>
    <t>La Brae Local SD</t>
  </si>
  <si>
    <t>Southington Local SD</t>
  </si>
  <si>
    <t>McDonald Local SD</t>
  </si>
  <si>
    <t>Maplewood Local SD</t>
  </si>
  <si>
    <t>Lordstown Local SD</t>
  </si>
  <si>
    <t>Liberty Local SD</t>
  </si>
  <si>
    <t>Lakeview Local SD</t>
  </si>
  <si>
    <t>Joseph Badger Local SD</t>
  </si>
  <si>
    <t>Howland Local SD</t>
  </si>
  <si>
    <t>Mathews Local SD</t>
  </si>
  <si>
    <t>Champion Local SD</t>
  </si>
  <si>
    <t>Brookfield Local SD</t>
  </si>
  <si>
    <t>Bristol Local SD</t>
  </si>
  <si>
    <t>Bloomfield-Mespo Local SD</t>
  </si>
  <si>
    <t>Twinsburg City SD</t>
  </si>
  <si>
    <t>Springfield Local SD</t>
  </si>
  <si>
    <t>Revere Local SD</t>
  </si>
  <si>
    <t>Nordonia Hills City SD</t>
  </si>
  <si>
    <t>Mogadore Local SD</t>
  </si>
  <si>
    <t>Hudson City SD</t>
  </si>
  <si>
    <t>Manchester Local SD</t>
  </si>
  <si>
    <t>Coventry Local SD</t>
  </si>
  <si>
    <t>Copley-Fairlawn City SD</t>
  </si>
  <si>
    <t>Woodridge Local SD</t>
  </si>
  <si>
    <t>Tuslaw Local SD</t>
  </si>
  <si>
    <t>Sandy Valley Local SD</t>
  </si>
  <si>
    <t>Plain Local SD</t>
  </si>
  <si>
    <t>Perry Local SD</t>
  </si>
  <si>
    <t>Osnaburg Local SD</t>
  </si>
  <si>
    <t>Northwest Local SD</t>
  </si>
  <si>
    <t>Minerva Local SD</t>
  </si>
  <si>
    <t>Marlington Local SD</t>
  </si>
  <si>
    <t>Louisville City SD</t>
  </si>
  <si>
    <t>Jackson Local SD</t>
  </si>
  <si>
    <t>Fairless Local SD</t>
  </si>
  <si>
    <t>Canton Local SD</t>
  </si>
  <si>
    <t>Russia Local SD</t>
  </si>
  <si>
    <t>Jackson Center Local SD</t>
  </si>
  <si>
    <t>Hardin-Houston Local SD</t>
  </si>
  <si>
    <t>Fort Loramie Local SD</t>
  </si>
  <si>
    <t>Fairlawn Local SD</t>
  </si>
  <si>
    <t>Botkins Local SD</t>
  </si>
  <si>
    <t>Anna Local SD</t>
  </si>
  <si>
    <t>Old Fort Local SD</t>
  </si>
  <si>
    <t>New Riegel Local SD</t>
  </si>
  <si>
    <t>Hopewell-Loudon Local SD</t>
  </si>
  <si>
    <t>Seneca East Local SD</t>
  </si>
  <si>
    <t>Wheelersburg Local SD</t>
  </si>
  <si>
    <t>Washington-Nile Local SD</t>
  </si>
  <si>
    <t>Valley Local SD</t>
  </si>
  <si>
    <t>Minford Local SD</t>
  </si>
  <si>
    <t>Clay Local SD</t>
  </si>
  <si>
    <t>Bloom-Vernon Local SD</t>
  </si>
  <si>
    <t>Woodmore Local SD</t>
  </si>
  <si>
    <t>Lakota Local SD</t>
  </si>
  <si>
    <t>Zane Trace Local SD</t>
  </si>
  <si>
    <t>Union Scioto Local SD</t>
  </si>
  <si>
    <t>Southeastern Local SD</t>
  </si>
  <si>
    <t>Paint Valley Local SD</t>
  </si>
  <si>
    <t>Huntington Local SD</t>
  </si>
  <si>
    <t>Adena Local SD</t>
  </si>
  <si>
    <t>Ontario Local SD</t>
  </si>
  <si>
    <t>Plymouth-Shiloh Local SD</t>
  </si>
  <si>
    <t>Madison Local SD</t>
  </si>
  <si>
    <t>Lucas Local SD</t>
  </si>
  <si>
    <t>Lexington Local SD</t>
  </si>
  <si>
    <t>Clear Fork Valley Local SD</t>
  </si>
  <si>
    <t>Pandora-Gilboa Local SD</t>
  </si>
  <si>
    <t>Ottoville Local SD</t>
  </si>
  <si>
    <t>Ottawa-Glandorf Local SD</t>
  </si>
  <si>
    <t>Miller City-New Cleveland Lo</t>
  </si>
  <si>
    <t>Leipsic Local SD</t>
  </si>
  <si>
    <t>Kalida Local SD</t>
  </si>
  <si>
    <t>Jennings Local SD</t>
  </si>
  <si>
    <t>Continental Local SD</t>
  </si>
  <si>
    <t>Columbus Grove Local SD</t>
  </si>
  <si>
    <t>Preble-Shawnee Local SD</t>
  </si>
  <si>
    <t>National Trail Local SD</t>
  </si>
  <si>
    <t>Waterloo Local SD</t>
  </si>
  <si>
    <t>Streetsboro City SD</t>
  </si>
  <si>
    <t>Rootstown Local SD</t>
  </si>
  <si>
    <t>James A Garfield Local SD</t>
  </si>
  <si>
    <t>Field Local SD</t>
  </si>
  <si>
    <t>Crestwood Local SD</t>
  </si>
  <si>
    <t>Aurora City SD</t>
  </si>
  <si>
    <t>Western Local SD</t>
  </si>
  <si>
    <t>Waverly City SD</t>
  </si>
  <si>
    <t>Scioto Valley Local SD</t>
  </si>
  <si>
    <t>Eastern Local SD</t>
  </si>
  <si>
    <t>Westfall Local SD</t>
  </si>
  <si>
    <t>Teays Valley Local SD</t>
  </si>
  <si>
    <t>Logan Elm Local SD</t>
  </si>
  <si>
    <t>Southern Local SD</t>
  </si>
  <si>
    <t>Northern Local SD</t>
  </si>
  <si>
    <t>Wayne Trace Local SD</t>
  </si>
  <si>
    <t>Antwerp Local SD</t>
  </si>
  <si>
    <t>Put-In-Bay Local SD</t>
  </si>
  <si>
    <t>Genoa Area Local SD</t>
  </si>
  <si>
    <t>Danbury Local SD</t>
  </si>
  <si>
    <t>Benton Carroll Salem Local S</t>
  </si>
  <si>
    <t>Noble Local SD</t>
  </si>
  <si>
    <t>West Muskingum Local SD</t>
  </si>
  <si>
    <t>Tri-Valley Local SD</t>
  </si>
  <si>
    <t>Maysville Local SD</t>
  </si>
  <si>
    <t>Franklin Local SD</t>
  </si>
  <si>
    <t>East Muskingum Local SD</t>
  </si>
  <si>
    <t>Northmor Local SD</t>
  </si>
  <si>
    <t>Highland Local SD</t>
  </si>
  <si>
    <t>Cardington-Lincoln Local SD</t>
  </si>
  <si>
    <t>Morgan Local SD</t>
  </si>
  <si>
    <t>Huber Heights City SD</t>
  </si>
  <si>
    <t>Valley View Local SD</t>
  </si>
  <si>
    <t>Northridge Local SD</t>
  </si>
  <si>
    <t>Northmont City SD</t>
  </si>
  <si>
    <t>New Lebanon Local SD</t>
  </si>
  <si>
    <t>Mad River Local SD</t>
  </si>
  <si>
    <t>Trotwood-Madison City SD</t>
  </si>
  <si>
    <t>Jefferson Township Local SD</t>
  </si>
  <si>
    <t>Brookville Local SD</t>
  </si>
  <si>
    <t>Switzerland Of Ohio Local SD</t>
  </si>
  <si>
    <t>Newton Local SD</t>
  </si>
  <si>
    <t>Miami East Local SD</t>
  </si>
  <si>
    <t>Bethel Local SD</t>
  </si>
  <si>
    <t>Fort Recovery Local SD</t>
  </si>
  <si>
    <t>Parkway Local SD</t>
  </si>
  <si>
    <t>Marion Local SD</t>
  </si>
  <si>
    <t>Meigs Local SD</t>
  </si>
  <si>
    <t>Cloverleaf Local SD</t>
  </si>
  <si>
    <t>Buckeye Local SD</t>
  </si>
  <si>
    <t>Black River Local SD</t>
  </si>
  <si>
    <t>River Valley Local SD</t>
  </si>
  <si>
    <t>Ridgedale Local SD</t>
  </si>
  <si>
    <t>Pleasant Local SD</t>
  </si>
  <si>
    <t>Elgin Local SD</t>
  </si>
  <si>
    <t>Western Reserve Local SD</t>
  </si>
  <si>
    <t>West Branch Local SD</t>
  </si>
  <si>
    <t>South Range Local SD</t>
  </si>
  <si>
    <t>Sebring Local SD</t>
  </si>
  <si>
    <t>Poland Local SD</t>
  </si>
  <si>
    <t>Lowellville Local SD</t>
  </si>
  <si>
    <t>Jackson-Milton Local SD</t>
  </si>
  <si>
    <t>Canfield Local SD</t>
  </si>
  <si>
    <t>Boardman Local SD</t>
  </si>
  <si>
    <t>Austintown Local SD</t>
  </si>
  <si>
    <t>Madison-Plains Local SD</t>
  </si>
  <si>
    <t>Jonathan Alder Local SD</t>
  </si>
  <si>
    <t>Jefferson Local SD</t>
  </si>
  <si>
    <t>Washington Local SD</t>
  </si>
  <si>
    <t>Ottawa Hills Local SD</t>
  </si>
  <si>
    <t>Anthony Wayne Local SD</t>
  </si>
  <si>
    <t>Midview Local SD</t>
  </si>
  <si>
    <t>Keystone Local SD</t>
  </si>
  <si>
    <t>Firelands Local SD</t>
  </si>
  <si>
    <t>Columbia Local SD</t>
  </si>
  <si>
    <t>Clearview Local SD</t>
  </si>
  <si>
    <t>Avon Lake City SD</t>
  </si>
  <si>
    <t>Avon Local SD</t>
  </si>
  <si>
    <t>Riverside Local SD</t>
  </si>
  <si>
    <t>Indian Lake Local SD</t>
  </si>
  <si>
    <t>Benjamin Logan Local SD</t>
  </si>
  <si>
    <t>Southwest Licking Local SD</t>
  </si>
  <si>
    <t>North Fork Local SD</t>
  </si>
  <si>
    <t>Licking Valley Local SD</t>
  </si>
  <si>
    <t>Licking Heights Local SD</t>
  </si>
  <si>
    <t>Lakewood Local SD</t>
  </si>
  <si>
    <t>Johnstown-Monroe Local SD</t>
  </si>
  <si>
    <t>Symmes Valley Local SD</t>
  </si>
  <si>
    <t>South Point Local SD</t>
  </si>
  <si>
    <t>Rock Hill Local SD</t>
  </si>
  <si>
    <t>Fairland Local SD</t>
  </si>
  <si>
    <t>Dawson-Bryant Local SD</t>
  </si>
  <si>
    <t>Kirtland Local SD</t>
  </si>
  <si>
    <t>Fredericktown Local SD</t>
  </si>
  <si>
    <t>East Knox Local SD</t>
  </si>
  <si>
    <t>Danville Local SD</t>
  </si>
  <si>
    <t>Centerburg Local SD</t>
  </si>
  <si>
    <t>Indian Creek Local SD</t>
  </si>
  <si>
    <t>Edison Local SD</t>
  </si>
  <si>
    <t>Oak Hill Union Local SD</t>
  </si>
  <si>
    <t>South Central Local SD</t>
  </si>
  <si>
    <t>New London Local SD</t>
  </si>
  <si>
    <t>Monroeville Local SD</t>
  </si>
  <si>
    <t>West Holmes Local SD</t>
  </si>
  <si>
    <t>East Holmes Local SD</t>
  </si>
  <si>
    <t>Lynchburg-Clay Local SD</t>
  </si>
  <si>
    <t>Fairfield Local SD</t>
  </si>
  <si>
    <t>Bright Local SD</t>
  </si>
  <si>
    <t>Patrick Henry Local SD</t>
  </si>
  <si>
    <t>Liberty Center Local SD</t>
  </si>
  <si>
    <t>Holgate Local SD</t>
  </si>
  <si>
    <t>Upper Scioto Valley Local SD</t>
  </si>
  <si>
    <t>Riverdale Local SD</t>
  </si>
  <si>
    <t>Ridgemont Local SD</t>
  </si>
  <si>
    <t>Hardin Northern Local SD</t>
  </si>
  <si>
    <t>Vanlue Local SD</t>
  </si>
  <si>
    <t>Van Buren Local SD</t>
  </si>
  <si>
    <t>McComb Local SD</t>
  </si>
  <si>
    <t>Liberty Benton Local SD</t>
  </si>
  <si>
    <t>Cory-Rawson Local SD</t>
  </si>
  <si>
    <t>Arlington Local SD</t>
  </si>
  <si>
    <t>Arcadia Local SD</t>
  </si>
  <si>
    <t>Three Rivers Local SD</t>
  </si>
  <si>
    <t>Southwest Local SD</t>
  </si>
  <si>
    <t>Oak Hills Local SD</t>
  </si>
  <si>
    <t>Forest Hills Local SD</t>
  </si>
  <si>
    <t>Finneytown Local SD</t>
  </si>
  <si>
    <t>Rolling Hills Local SD</t>
  </si>
  <si>
    <t>Sugarcreek Local SD</t>
  </si>
  <si>
    <t>Greeneview Local SD</t>
  </si>
  <si>
    <t>Cedar Cliff Local SD</t>
  </si>
  <si>
    <t>Beavercreek City SD</t>
  </si>
  <si>
    <t>West Geauga Local SD</t>
  </si>
  <si>
    <t>Newbury Local SD</t>
  </si>
  <si>
    <t>Kenston Local SD</t>
  </si>
  <si>
    <t>Chardon Local SD</t>
  </si>
  <si>
    <t>Cardinal Local SD</t>
  </si>
  <si>
    <t>Berkshire Local SD</t>
  </si>
  <si>
    <t>Swanton Local SD</t>
  </si>
  <si>
    <t>Pike-Delta-York Local SD</t>
  </si>
  <si>
    <t>Pettisville Local SD</t>
  </si>
  <si>
    <t>Fayette Local SD</t>
  </si>
  <si>
    <t>Evergreen Local SD</t>
  </si>
  <si>
    <t>Archbold-Area Local SD</t>
  </si>
  <si>
    <t>Dublin City SD</t>
  </si>
  <si>
    <t>Hilliard City SD</t>
  </si>
  <si>
    <t>Reynoldsburg City SD</t>
  </si>
  <si>
    <t>New Albany-Plain Local SD</t>
  </si>
  <si>
    <t>Groveport Madison Local SD</t>
  </si>
  <si>
    <t>Gahanna-Jefferson City SD</t>
  </si>
  <si>
    <t>Hamilton Local SD</t>
  </si>
  <si>
    <t>Canal Winchester Local SD</t>
  </si>
  <si>
    <t>Miami Trace Local SD</t>
  </si>
  <si>
    <t>Walnut Township Local SD</t>
  </si>
  <si>
    <t>Pickerington Local SD</t>
  </si>
  <si>
    <t>Fairfield Union Local SD</t>
  </si>
  <si>
    <t>Bloom Carroll Local SD</t>
  </si>
  <si>
    <t>Berne Union Local SD</t>
  </si>
  <si>
    <t>Amanda-Clearcreek Local SD</t>
  </si>
  <si>
    <t>Vermilion Local SD</t>
  </si>
  <si>
    <t>Perkins Local SD</t>
  </si>
  <si>
    <t>Margaretta Local SD</t>
  </si>
  <si>
    <t>Olentangy Local SD</t>
  </si>
  <si>
    <t>Buckeye Valley Local SD</t>
  </si>
  <si>
    <t>Big Walnut Local SD</t>
  </si>
  <si>
    <t>Northeastern Local SD</t>
  </si>
  <si>
    <t>Central Local SD</t>
  </si>
  <si>
    <t>Ayersville Local SD</t>
  </si>
  <si>
    <t>Tri-Village Local SD</t>
  </si>
  <si>
    <t>Mississinawa Valley Local SD</t>
  </si>
  <si>
    <t>Franklin-Monroe Local SD</t>
  </si>
  <si>
    <t>Arcanum Butler Local SD</t>
  </si>
  <si>
    <t>Ansonia Local SD</t>
  </si>
  <si>
    <t>Solon City SD</t>
  </si>
  <si>
    <t>Richmond Heights Local SD</t>
  </si>
  <si>
    <t>Orange City SD</t>
  </si>
  <si>
    <t>Olmsted Falls City SD</t>
  </si>
  <si>
    <t>Independence Local SD</t>
  </si>
  <si>
    <t>Cuyahoga Heights Local SD</t>
  </si>
  <si>
    <t>Wynford Local SD</t>
  </si>
  <si>
    <t>Colonel Crawford Local SD</t>
  </si>
  <si>
    <t>Buckeye Central Local SD</t>
  </si>
  <si>
    <t>River View Local SD</t>
  </si>
  <si>
    <t>Ridgewood Local SD</t>
  </si>
  <si>
    <t>United Local SD</t>
  </si>
  <si>
    <t>Beaver Local SD</t>
  </si>
  <si>
    <t>East Clinton Local SD</t>
  </si>
  <si>
    <t>Clinton-Massie Local SD</t>
  </si>
  <si>
    <t>Blanchester Local SD</t>
  </si>
  <si>
    <t>Williamsburg Local SD</t>
  </si>
  <si>
    <t>West Clermont Local SD</t>
  </si>
  <si>
    <t>Goshen Local SD</t>
  </si>
  <si>
    <t>Felicity-Franklin Local SD</t>
  </si>
  <si>
    <t>Clermont-Northeastern Local</t>
  </si>
  <si>
    <t>Bethel-Tate Local SD</t>
  </si>
  <si>
    <t>Batavia Local SD</t>
  </si>
  <si>
    <t>Clark-Shawnee Local SD</t>
  </si>
  <si>
    <t>Tecumseh Local SD</t>
  </si>
  <si>
    <t>Greenon Local SD</t>
  </si>
  <si>
    <t>West Liberty-Salem Local SD</t>
  </si>
  <si>
    <t>Triad Local SD</t>
  </si>
  <si>
    <t>Graham Local SD</t>
  </si>
  <si>
    <t>Brown Local SD</t>
  </si>
  <si>
    <t>Talawanda City SD</t>
  </si>
  <si>
    <t>Ross Local SD</t>
  </si>
  <si>
    <t>New Miami Local SD</t>
  </si>
  <si>
    <t>Fairfield City SD</t>
  </si>
  <si>
    <t>Edgewood City SD</t>
  </si>
  <si>
    <t>Ripley-Union-Lewis Local SD</t>
  </si>
  <si>
    <t>Western Brown Local SD</t>
  </si>
  <si>
    <t>Fayetteville-Perry Local SD</t>
  </si>
  <si>
    <t>Union Local SD</t>
  </si>
  <si>
    <t>Shadyside Local SD</t>
  </si>
  <si>
    <t>Waynesfield-Goshen Local SD</t>
  </si>
  <si>
    <t>New Knoxville Local SD</t>
  </si>
  <si>
    <t>New Bremen Local SD</t>
  </si>
  <si>
    <t>Minster Local SD</t>
  </si>
  <si>
    <t>Trimble Local SD</t>
  </si>
  <si>
    <t>Federal Hocking Local SD</t>
  </si>
  <si>
    <t>Alexander Local SD</t>
  </si>
  <si>
    <t>Pymatuning Valley Local SD</t>
  </si>
  <si>
    <t>Jefferson Area Local SD</t>
  </si>
  <si>
    <t>Grand Valley Local SD</t>
  </si>
  <si>
    <t>Mapleton Local SD</t>
  </si>
  <si>
    <t>Hillsdale Local SD</t>
  </si>
  <si>
    <t>Spencerville Local SD</t>
  </si>
  <si>
    <t>Shawnee Local SD</t>
  </si>
  <si>
    <t>Elida Local SD</t>
  </si>
  <si>
    <t>Bath Local SD</t>
  </si>
  <si>
    <t>Allen East Local SD</t>
  </si>
  <si>
    <t>Yellow Springs Ex Vill SD</t>
  </si>
  <si>
    <t>Windham Ex Vill SD</t>
  </si>
  <si>
    <t>Wellington Ex Vill SD</t>
  </si>
  <si>
    <t>Wauseon Ex Vill SD</t>
  </si>
  <si>
    <t>Versailles Ex Vill SD</t>
  </si>
  <si>
    <t>Upper Sandusky Ex Vill SD</t>
  </si>
  <si>
    <t>Tipp City Ex Vill SD</t>
  </si>
  <si>
    <t>Rossford Ex Vill SD</t>
  </si>
  <si>
    <t>Rittman Ex Vill SD</t>
  </si>
  <si>
    <t>Perrysburg Ex Vill SD</t>
  </si>
  <si>
    <t>Paulding Ex Vill SD</t>
  </si>
  <si>
    <t>Newton Falls Ex Vill SD</t>
  </si>
  <si>
    <t>New Richmond Ex Vill SD</t>
  </si>
  <si>
    <t>Newcomerstown Ex Vill SD</t>
  </si>
  <si>
    <t>Mount Gilead Ex Vill SD</t>
  </si>
  <si>
    <t>Montpelier Ex Vill SD</t>
  </si>
  <si>
    <t>Milton-Union Ex Vill SD</t>
  </si>
  <si>
    <t>Milford Ex Vill SD</t>
  </si>
  <si>
    <t>Mentor Ex Vill SD</t>
  </si>
  <si>
    <t>Mechanicsburg Ex Vill SD</t>
  </si>
  <si>
    <t>Marysville Ex Vill SD</t>
  </si>
  <si>
    <t>Loudonville-Perrysville Ex V</t>
  </si>
  <si>
    <t>Lisbon Ex Vill SD</t>
  </si>
  <si>
    <t>Leetonia Ex Vill SD</t>
  </si>
  <si>
    <t>Indian Hill Ex Vill SD</t>
  </si>
  <si>
    <t>Hubbard Ex Vill SD</t>
  </si>
  <si>
    <t>Hicksville Ex Vill SD</t>
  </si>
  <si>
    <t>Greenfield Ex Vill SD</t>
  </si>
  <si>
    <t>Granville Ex Vill SD</t>
  </si>
  <si>
    <t>Gibsonburg Ex Vill SD</t>
  </si>
  <si>
    <t>Georgetown Ex Vill SD</t>
  </si>
  <si>
    <t>Fairport Harbor Ex Vill SD</t>
  </si>
  <si>
    <t>Crooksville Ex Vill SD</t>
  </si>
  <si>
    <t>Crestline Ex Vill SD</t>
  </si>
  <si>
    <t>Covington Ex Vill SD</t>
  </si>
  <si>
    <t>Columbiana Ex Vill SD</t>
  </si>
  <si>
    <t>Coldwater Ex Vill SD</t>
  </si>
  <si>
    <t>Clyde-Green Springs Ex Vill</t>
  </si>
  <si>
    <t>Chesapeake Union Ex Vill SD</t>
  </si>
  <si>
    <t>Chagrin Falls Ex Vill SD</t>
  </si>
  <si>
    <t>Carrollton Ex Vill SD</t>
  </si>
  <si>
    <t>Carey Ex Vill SD</t>
  </si>
  <si>
    <t>Caldwell Ex Vill SD</t>
  </si>
  <si>
    <t>Harrison Hills City SD</t>
  </si>
  <si>
    <t>Bridgeport Ex Vill SD</t>
  </si>
  <si>
    <t>Bradford Ex Vill SD</t>
  </si>
  <si>
    <t>Bluffton Ex Vill SD</t>
  </si>
  <si>
    <t>Barnesville Ex Vill SD</t>
  </si>
  <si>
    <t>Amherst Ex Vill SD</t>
  </si>
  <si>
    <t>Ada Ex Vill SD</t>
  </si>
  <si>
    <t>Zanesville City SD</t>
  </si>
  <si>
    <t>Youngstown City SD</t>
  </si>
  <si>
    <t>Xenia Community City SD</t>
  </si>
  <si>
    <t>Wyoming City SD</t>
  </si>
  <si>
    <t>Worthington City SD</t>
  </si>
  <si>
    <t>Wooster City SD</t>
  </si>
  <si>
    <t>Wilmington City SD</t>
  </si>
  <si>
    <t>Willoughby-Eastlake City SD</t>
  </si>
  <si>
    <t>Willard City SD</t>
  </si>
  <si>
    <t>Wickliffe City SD</t>
  </si>
  <si>
    <t>Whitehall City SD</t>
  </si>
  <si>
    <t>Westlake City SD</t>
  </si>
  <si>
    <t>West Carrollton City SD</t>
  </si>
  <si>
    <t>Westerville City SD</t>
  </si>
  <si>
    <t>Wellsville Local SD</t>
  </si>
  <si>
    <t>Wellston City SD</t>
  </si>
  <si>
    <t>Warrensville Heights City SD</t>
  </si>
  <si>
    <t>Warren City SD</t>
  </si>
  <si>
    <t>Wapakoneta City SD</t>
  </si>
  <si>
    <t>Wadsworth City SD</t>
  </si>
  <si>
    <t>Van Wert City SD</t>
  </si>
  <si>
    <t>Vandalia-Butler City SD</t>
  </si>
  <si>
    <t>Urbana City SD</t>
  </si>
  <si>
    <t>Upper Arlington City SD</t>
  </si>
  <si>
    <t>Troy City SD</t>
  </si>
  <si>
    <t>Toronto City SD</t>
  </si>
  <si>
    <t>Toledo City SD</t>
  </si>
  <si>
    <t>Tiffin City SD</t>
  </si>
  <si>
    <t>Tallmadge City SD</t>
  </si>
  <si>
    <t>Sylvania City SD</t>
  </si>
  <si>
    <t>Sycamore Community City SD</t>
  </si>
  <si>
    <t>Struthers City SD</t>
  </si>
  <si>
    <t>Strongsville City SD</t>
  </si>
  <si>
    <t>Stow-Munroe Falls City SD</t>
  </si>
  <si>
    <t>Steubenville City SD</t>
  </si>
  <si>
    <t>Springfield City SD</t>
  </si>
  <si>
    <t>South-Western City SD</t>
  </si>
  <si>
    <t>Sidney City SD</t>
  </si>
  <si>
    <t>Shelby City SD</t>
  </si>
  <si>
    <t>Sheffield-Sheffield Lake Cit</t>
  </si>
  <si>
    <t>Shaker Heights City SD</t>
  </si>
  <si>
    <t>Sandusky City SD</t>
  </si>
  <si>
    <t>Salem City SD</t>
  </si>
  <si>
    <t>St Marys City SD</t>
  </si>
  <si>
    <t>St Bernard-Elmwood Place Cit</t>
  </si>
  <si>
    <t>Rocky River City SD</t>
  </si>
  <si>
    <t>Reading Community City SD</t>
  </si>
  <si>
    <t>Ravenna City SD</t>
  </si>
  <si>
    <t>Princeton City SD</t>
  </si>
  <si>
    <t>Portsmouth City SD</t>
  </si>
  <si>
    <t>Port Clinton City SD</t>
  </si>
  <si>
    <t>Piqua City SD</t>
  </si>
  <si>
    <t>Parma City SD</t>
  </si>
  <si>
    <t>Painsville City Local SD</t>
  </si>
  <si>
    <t>Orrville City SD</t>
  </si>
  <si>
    <t>Oregon City SD</t>
  </si>
  <si>
    <t>Oberlin City SD</t>
  </si>
  <si>
    <t>Oakwood City SD</t>
  </si>
  <si>
    <t>Norwood City SD</t>
  </si>
  <si>
    <t>Norwalk City SD</t>
  </si>
  <si>
    <t>Norton City SD</t>
  </si>
  <si>
    <t>North Royalton City SD</t>
  </si>
  <si>
    <t>North Ridgeville City SD</t>
  </si>
  <si>
    <t>North Olmsted City SD</t>
  </si>
  <si>
    <t>North College Hill City SD</t>
  </si>
  <si>
    <t>North Canton City SD</t>
  </si>
  <si>
    <t>Niles City SD</t>
  </si>
  <si>
    <t>New Philadelphia City SD</t>
  </si>
  <si>
    <t>New Lexington City SD</t>
  </si>
  <si>
    <t>New Boston Local SD</t>
  </si>
  <si>
    <t>Newark City SD</t>
  </si>
  <si>
    <t>Nelsonville-York City SD</t>
  </si>
  <si>
    <t>Napoleon City SD</t>
  </si>
  <si>
    <t>Mount Vernon City SD</t>
  </si>
  <si>
    <t>Mount Healthy City SD</t>
  </si>
  <si>
    <t>Middletown City SD</t>
  </si>
  <si>
    <t>Miamisburg City SD</t>
  </si>
  <si>
    <t>Mayfield City SD</t>
  </si>
  <si>
    <t>Maumee City SD</t>
  </si>
  <si>
    <t>Massillon City SD</t>
  </si>
  <si>
    <t>Martins Ferry City SD</t>
  </si>
  <si>
    <t>Marion City SD</t>
  </si>
  <si>
    <t>Marietta City SD</t>
  </si>
  <si>
    <t>Mariemont City SD</t>
  </si>
  <si>
    <t>Maple Heights City SD</t>
  </si>
  <si>
    <t>Mansfield City SD</t>
  </si>
  <si>
    <t>Madeira City SD</t>
  </si>
  <si>
    <t>Loveland City SD</t>
  </si>
  <si>
    <t>Lorain City SD</t>
  </si>
  <si>
    <t>London City SD</t>
  </si>
  <si>
    <t>Logan-Hocking Local SD</t>
  </si>
  <si>
    <t>Lockland City SD</t>
  </si>
  <si>
    <t>Lima City SD</t>
  </si>
  <si>
    <t>Lebanon City SD</t>
  </si>
  <si>
    <t>Lancaster City SD</t>
  </si>
  <si>
    <t>Lakewood City SD</t>
  </si>
  <si>
    <t>Kettering City SD</t>
  </si>
  <si>
    <t>Kenton City SD</t>
  </si>
  <si>
    <t>Kent City SD</t>
  </si>
  <si>
    <t>Jackson City SD</t>
  </si>
  <si>
    <t>Ironton City SD</t>
  </si>
  <si>
    <t>Huron City SD</t>
  </si>
  <si>
    <t>Hillsboro City SD</t>
  </si>
  <si>
    <t>Heath City SD</t>
  </si>
  <si>
    <t>Hamilton City SD</t>
  </si>
  <si>
    <t>Greenville City SD</t>
  </si>
  <si>
    <t>Winton Woods City SD</t>
  </si>
  <si>
    <t>Grandview Heights City SD</t>
  </si>
  <si>
    <t>Girard City SD</t>
  </si>
  <si>
    <t>Geneva Area City SD</t>
  </si>
  <si>
    <t>Garfield Heights City SD</t>
  </si>
  <si>
    <t>Gallipolis City SD</t>
  </si>
  <si>
    <t>Galion City SD</t>
  </si>
  <si>
    <t>Fremont City SD</t>
  </si>
  <si>
    <t>Franklin City SD</t>
  </si>
  <si>
    <t>Fostoria City SD</t>
  </si>
  <si>
    <t>Findlay City SD</t>
  </si>
  <si>
    <t>Fairview Park City SD</t>
  </si>
  <si>
    <t>Fairborn City SD</t>
  </si>
  <si>
    <t>Euclid City SD</t>
  </si>
  <si>
    <t>Elyria City SD</t>
  </si>
  <si>
    <t>Eaton Community Schools City</t>
  </si>
  <si>
    <t>East Palestine City SD</t>
  </si>
  <si>
    <t>East Liverpool City SD</t>
  </si>
  <si>
    <t>East Cleveland City SD</t>
  </si>
  <si>
    <t>Dover City SD</t>
  </si>
  <si>
    <t>Delphos City SD</t>
  </si>
  <si>
    <t>Delaware City SD</t>
  </si>
  <si>
    <t>Defiance City SD</t>
  </si>
  <si>
    <t>Deer Park Community City SD</t>
  </si>
  <si>
    <t>Dayton City SD</t>
  </si>
  <si>
    <t>Cuyahoga Falls City SD</t>
  </si>
  <si>
    <t>Coshocton City SD</t>
  </si>
  <si>
    <t>Conneaut Area City SD</t>
  </si>
  <si>
    <t>Columbus City SD</t>
  </si>
  <si>
    <t>Cleveland Hts-Univ Hts City</t>
  </si>
  <si>
    <t>Cleveland Municipal SD</t>
  </si>
  <si>
    <t>Claymont City SD</t>
  </si>
  <si>
    <t>Circleville City SD</t>
  </si>
  <si>
    <t>Cincinnati City SD</t>
  </si>
  <si>
    <t>Chillicothe City SD</t>
  </si>
  <si>
    <t>Centerville City SD</t>
  </si>
  <si>
    <t>Celina City SD</t>
  </si>
  <si>
    <t>Canton City SD</t>
  </si>
  <si>
    <t>Campbell City SD</t>
  </si>
  <si>
    <t>Cambridge City SD</t>
  </si>
  <si>
    <t>Bucyrus City SD</t>
  </si>
  <si>
    <t>Bryan City SD</t>
  </si>
  <si>
    <t>Brunswick City SD</t>
  </si>
  <si>
    <t>Brooklyn City SD</t>
  </si>
  <si>
    <t>Brecksville-Broadview Height</t>
  </si>
  <si>
    <t>Bowling Green City SD</t>
  </si>
  <si>
    <t>Bexley City SD</t>
  </si>
  <si>
    <t>Berea City SD</t>
  </si>
  <si>
    <t>Belpre City SD</t>
  </si>
  <si>
    <t>Bellevue City SD</t>
  </si>
  <si>
    <t>Bellefontaine City SD</t>
  </si>
  <si>
    <t>Bellaire Local SD</t>
  </si>
  <si>
    <t>Bedford City SD</t>
  </si>
  <si>
    <t>Beachwood City SD</t>
  </si>
  <si>
    <t>Bay Village City SD</t>
  </si>
  <si>
    <t>Barberton City SD</t>
  </si>
  <si>
    <t>Athens City SD</t>
  </si>
  <si>
    <t>Ashtabula Area City SD</t>
  </si>
  <si>
    <t>Ashland City SD</t>
  </si>
  <si>
    <t>Alliance City SD</t>
  </si>
  <si>
    <t>Akron City SD</t>
  </si>
  <si>
    <t>Unequalized Transportation Funding</t>
  </si>
  <si>
    <t xml:space="preserve">Supplemental Transportation (R) </t>
  </si>
  <si>
    <t>Type 6 (P)</t>
  </si>
  <si>
    <t>Type 5 (O)</t>
  </si>
  <si>
    <t>Type 3 (N)</t>
  </si>
  <si>
    <t>Unequalized Transportation Funding (M1)</t>
  </si>
  <si>
    <t>Base Transportaiton Funding (M)</t>
  </si>
  <si>
    <t>State Share Index</t>
  </si>
  <si>
    <t>DISTRICT</t>
  </si>
  <si>
    <t>Unequalized FY19 Transportation Funding</t>
  </si>
  <si>
    <t>FY19 Transportation Funding (Equalized)</t>
  </si>
  <si>
    <t>Sum of Unequalized Transportation Funding</t>
  </si>
  <si>
    <t>Sum of FY19 Transportation Funding (Equalized)</t>
  </si>
  <si>
    <t>% Total</t>
  </si>
  <si>
    <t>ODE Approved",N/A"</t>
  </si>
  <si>
    <t>Dublin Prep Academy</t>
  </si>
  <si>
    <t>NonPublic State FY 2020 - Federal FY 2021</t>
  </si>
  <si>
    <t>ODE Approved",Not Started"</t>
  </si>
  <si>
    <t>The Children's Academy of Mason Inc.</t>
  </si>
  <si>
    <t>Hershey Montessori Farm School</t>
  </si>
  <si>
    <t>Goddard School-Kindergarten</t>
  </si>
  <si>
    <t>Cincinnati Hills Christian Academy</t>
  </si>
  <si>
    <t>Montessori Center of South Dayton</t>
  </si>
  <si>
    <t>Royal Redeemer Lutheran</t>
  </si>
  <si>
    <t>ODE Approved",ODE Approved"</t>
  </si>
  <si>
    <t>Miami Montessori School, The</t>
  </si>
  <si>
    <t>Eleanor Gerson Sn</t>
  </si>
  <si>
    <t>ODE Approved",ODE Pending"</t>
  </si>
  <si>
    <t>Beautiful Savior Lutheran</t>
  </si>
  <si>
    <t>East Dayton Christian</t>
  </si>
  <si>
    <t>Children's Meeting House</t>
  </si>
  <si>
    <t>McGuffey Montessori School</t>
  </si>
  <si>
    <t>West Side Montessori</t>
  </si>
  <si>
    <t>Hudson Montessori</t>
  </si>
  <si>
    <t>The New School</t>
  </si>
  <si>
    <t>ODE Approved",Started"</t>
  </si>
  <si>
    <t>Ruffing Montessori Ingalls</t>
  </si>
  <si>
    <t>ODE Approved",Submitted"</t>
  </si>
  <si>
    <t>Cincinnati Christian Schools</t>
  </si>
  <si>
    <t>The Miami Valley School</t>
  </si>
  <si>
    <t>Cuyahoga Valley Christian Acad</t>
  </si>
  <si>
    <t>ODE Approved",Diocese Approved"</t>
  </si>
  <si>
    <t>Walsh Jesuit</t>
  </si>
  <si>
    <t>Laurel School</t>
  </si>
  <si>
    <t>Bethany</t>
  </si>
  <si>
    <t>St Paul Lutheran</t>
  </si>
  <si>
    <t>ODE Approved",Diocese Pending"</t>
  </si>
  <si>
    <t>Toledo Junior Academy</t>
  </si>
  <si>
    <t>St Charles Preparatory</t>
  </si>
  <si>
    <t xml:space="preserve">Andrews Osborne Academy </t>
  </si>
  <si>
    <t>Started",N/A"</t>
  </si>
  <si>
    <t>Juniper Lyceum</t>
  </si>
  <si>
    <t>Heart Montessori</t>
  </si>
  <si>
    <t>Universal Muslim Academy</t>
  </si>
  <si>
    <t>ODE Pending",N/A"</t>
  </si>
  <si>
    <t>Rabbinical Yeshiva of Cincinnati</t>
  </si>
  <si>
    <t>565 Academy</t>
  </si>
  <si>
    <t>Mentor Christian School</t>
  </si>
  <si>
    <t>Christian Life Church of Westerville</t>
  </si>
  <si>
    <t>The Learning Spectrum, LTD - Johnstown</t>
  </si>
  <si>
    <t>The Learning Spectrum, LTD - Canal Winchester</t>
  </si>
  <si>
    <t>Chaviva High School</t>
  </si>
  <si>
    <t>The Learning Spectrum</t>
  </si>
  <si>
    <t>The Reserve School</t>
  </si>
  <si>
    <t>STEPS Academy</t>
  </si>
  <si>
    <t>Westside Christian Academy</t>
  </si>
  <si>
    <t>Cincinnati Hills Christian Academy- the Edyth B. Lindner Ele</t>
  </si>
  <si>
    <t>Liberty Christian Academy - East Campus</t>
  </si>
  <si>
    <t>Holy Trinity Orthodox Christian Academy</t>
  </si>
  <si>
    <t>St Matthias</t>
  </si>
  <si>
    <t>Holy Name</t>
  </si>
  <si>
    <t>Sunrise Academy</t>
  </si>
  <si>
    <t>Summit Christian School</t>
  </si>
  <si>
    <t>St Ignatius High School</t>
  </si>
  <si>
    <t>St John Lutheran</t>
  </si>
  <si>
    <t>The Childrens Home of Cincinnati</t>
  </si>
  <si>
    <t>Columbus Adventist Academy</t>
  </si>
  <si>
    <t>St Joseph Villa Academy Sn</t>
  </si>
  <si>
    <t>St Joseph Academy</t>
  </si>
  <si>
    <t>Worthington Adventist Academy</t>
  </si>
  <si>
    <t>St Joseph</t>
  </si>
  <si>
    <t>Altercrest Day Treatment</t>
  </si>
  <si>
    <t>Highland Community Learning Center</t>
  </si>
  <si>
    <t>Bethlehem Lutheran School</t>
  </si>
  <si>
    <t>Our Lady Of The Elms</t>
  </si>
  <si>
    <t>Montessori School of Wooster</t>
  </si>
  <si>
    <t>Montgomery County Juvenile Court Detention Center</t>
  </si>
  <si>
    <t>Ridgewood School, The</t>
  </si>
  <si>
    <t>The Islamic School of Greater Toledo</t>
  </si>
  <si>
    <t>Northern Ohio Adventist Academy</t>
  </si>
  <si>
    <t>Al Ihsan School</t>
  </si>
  <si>
    <t>Safely Home</t>
  </si>
  <si>
    <t>The Montessori School of the Mahoning Valley</t>
  </si>
  <si>
    <t>Lakewood Lutheran</t>
  </si>
  <si>
    <t>St Benedict Early Learning Center</t>
  </si>
  <si>
    <t>Islamic Academy of Youngstown</t>
  </si>
  <si>
    <t>Bowling Green Christian Acdmy</t>
  </si>
  <si>
    <t>Ursuline Preschool &amp; Kindergar</t>
  </si>
  <si>
    <t>Villa Maria Teresa</t>
  </si>
  <si>
    <t>Our Lady Of Bethlehem</t>
  </si>
  <si>
    <t>Piqua Christian School</t>
  </si>
  <si>
    <t>Bright Beginnings</t>
  </si>
  <si>
    <t>Canton Montessori</t>
  </si>
  <si>
    <t>Ursuline Academy</t>
  </si>
  <si>
    <t>Golden Bridge Academy</t>
  </si>
  <si>
    <t>Firelands Montessori Academy</t>
  </si>
  <si>
    <t>Solomon Lutheran</t>
  </si>
  <si>
    <t>Oak Grove Christian</t>
  </si>
  <si>
    <t>Piqua Seventh-Day Adventist</t>
  </si>
  <si>
    <t>All The Children Of The World Academy</t>
  </si>
  <si>
    <t>Hillel Academy Of Dayton</t>
  </si>
  <si>
    <t>Adams County Christian</t>
  </si>
  <si>
    <t>Victory Christian</t>
  </si>
  <si>
    <t>Al Pi Darko Initiative</t>
  </si>
  <si>
    <t>St Edward</t>
  </si>
  <si>
    <t>St John</t>
  </si>
  <si>
    <t>St Mary Catholic</t>
  </si>
  <si>
    <t>Yeshiva High School of Cleveland</t>
  </si>
  <si>
    <t>Mansfield Seventh-Day Advent</t>
  </si>
  <si>
    <t>Northside Christian School</t>
  </si>
  <si>
    <t>St Anthony</t>
  </si>
  <si>
    <t>Arlington Christian Academy</t>
  </si>
  <si>
    <t>St Lawrence</t>
  </si>
  <si>
    <t>Messiah Lutheran</t>
  </si>
  <si>
    <t>Blessed Sacrament</t>
  </si>
  <si>
    <t>Academy Of St Bartholomew</t>
  </si>
  <si>
    <t>Immaculate Conception</t>
  </si>
  <si>
    <t>St Mary Immaculate Conception</t>
  </si>
  <si>
    <t>St Peter</t>
  </si>
  <si>
    <t>St Louis</t>
  </si>
  <si>
    <t>Logan Christian School</t>
  </si>
  <si>
    <t>Hershey Montessori</t>
  </si>
  <si>
    <t>Medina Christian Academy</t>
  </si>
  <si>
    <t>Gloria S Friend Christian Academy</t>
  </si>
  <si>
    <t>St Sebastian</t>
  </si>
  <si>
    <t>St Joseph Central</t>
  </si>
  <si>
    <t>St Augustine</t>
  </si>
  <si>
    <t>ODE Approved",Correction Needed"</t>
  </si>
  <si>
    <t>Bishop John King Mussio Central Junior High School</t>
  </si>
  <si>
    <t>Newark Catholic</t>
  </si>
  <si>
    <t>Fayette Christian School</t>
  </si>
  <si>
    <t>Bethel Christian Academy</t>
  </si>
  <si>
    <t>Communion of Saints School</t>
  </si>
  <si>
    <t>Redeemer Lutheran</t>
  </si>
  <si>
    <t>St Mary</t>
  </si>
  <si>
    <t>Holy Cross Catholic School of Defiance</t>
  </si>
  <si>
    <t>St Richard</t>
  </si>
  <si>
    <t>St Bernard</t>
  </si>
  <si>
    <t>Trinity Lutheran</t>
  </si>
  <si>
    <t>St Joseph Montessori</t>
  </si>
  <si>
    <t>Xavier University Montessori</t>
  </si>
  <si>
    <t>Canton Montessori Association</t>
  </si>
  <si>
    <t>Northside Christian Academy</t>
  </si>
  <si>
    <t>St Nicholas</t>
  </si>
  <si>
    <t>Sacred Heart</t>
  </si>
  <si>
    <t>St Brigid</t>
  </si>
  <si>
    <t>St Gabriel</t>
  </si>
  <si>
    <t>St Patrick</t>
  </si>
  <si>
    <t>Assumption</t>
  </si>
  <si>
    <t>Guiding Shepherd Christian School</t>
  </si>
  <si>
    <t>Columbus Jewish Day School</t>
  </si>
  <si>
    <t>St Joseph The Provider</t>
  </si>
  <si>
    <t>Archbishop Lyke-St Henry Campus</t>
  </si>
  <si>
    <t>Regina Coeli</t>
  </si>
  <si>
    <t>Our Shepherd Evangel Lutheran</t>
  </si>
  <si>
    <t>East Liverpool Christian School</t>
  </si>
  <si>
    <t>St Benedict</t>
  </si>
  <si>
    <t>Sts Philip And James</t>
  </si>
  <si>
    <t>Piqua Catholic Elementary</t>
  </si>
  <si>
    <t>Holy Trinity</t>
  </si>
  <si>
    <t>Incarnate Word Academy</t>
  </si>
  <si>
    <t>Holy Trinity, Assumption</t>
  </si>
  <si>
    <t>Cincinnati Waldorf High School</t>
  </si>
  <si>
    <t>Delaware Christian</t>
  </si>
  <si>
    <t>St Rita</t>
  </si>
  <si>
    <t>St Ursula Academy</t>
  </si>
  <si>
    <t>St Rose</t>
  </si>
  <si>
    <t>St Brendan</t>
  </si>
  <si>
    <t>Bishop Rosecrans</t>
  </si>
  <si>
    <t>St Boniface</t>
  </si>
  <si>
    <t>St Peter In Chains</t>
  </si>
  <si>
    <t>St Francis Desales</t>
  </si>
  <si>
    <t>St Joan Of Arc</t>
  </si>
  <si>
    <t>Lutheran East</t>
  </si>
  <si>
    <t>St Patrick Of Heatherdowns</t>
  </si>
  <si>
    <t>Immanuel Lutheran</t>
  </si>
  <si>
    <t>John F Kennedy Catholic Upper School</t>
  </si>
  <si>
    <t>St Mary Central</t>
  </si>
  <si>
    <t>St Bernadette</t>
  </si>
  <si>
    <t>Holy Family</t>
  </si>
  <si>
    <t>All Saints Catholic</t>
  </si>
  <si>
    <t>Sts Peter And Paul</t>
  </si>
  <si>
    <t>Mount Vernon Seventh-Day Adven</t>
  </si>
  <si>
    <t>Risen Christ Lutheran School</t>
  </si>
  <si>
    <t>Yeshiva Derech Hatorah</t>
  </si>
  <si>
    <t>Corpus Christi Academy</t>
  </si>
  <si>
    <t>St Mary Catholic School</t>
  </si>
  <si>
    <t>St Thomas More</t>
  </si>
  <si>
    <t>St Barbara</t>
  </si>
  <si>
    <t>St Andrew/St Elizabeth A Seton</t>
  </si>
  <si>
    <t>St Paschal Baylon</t>
  </si>
  <si>
    <t>St Veronica</t>
  </si>
  <si>
    <t>All Saints</t>
  </si>
  <si>
    <t>Seton Catholic</t>
  </si>
  <si>
    <t>Royalmont Academy</t>
  </si>
  <si>
    <t>Montessori Academy of Cincinnati</t>
  </si>
  <si>
    <t>Beatrice J. Stone Yavne</t>
  </si>
  <si>
    <t>Sts. Peter and Paul Academy</t>
  </si>
  <si>
    <t>Cincinnati Waldorf School</t>
  </si>
  <si>
    <t>St Helen</t>
  </si>
  <si>
    <t>Lehman High School</t>
  </si>
  <si>
    <t>St Michael</t>
  </si>
  <si>
    <t>St Anthony Of Padua</t>
  </si>
  <si>
    <t>Our Lady Of Consolation</t>
  </si>
  <si>
    <t>St Francis Of Assisi</t>
  </si>
  <si>
    <t>Central College Christian Academy</t>
  </si>
  <si>
    <t>Gilead Christian</t>
  </si>
  <si>
    <t>Aldersgate Christian Academy</t>
  </si>
  <si>
    <t>Cornerstone Community</t>
  </si>
  <si>
    <t>Montessori School of Bowling Green</t>
  </si>
  <si>
    <t>Catholic Central</t>
  </si>
  <si>
    <t>Temple Christian School</t>
  </si>
  <si>
    <t>St Mary Elementary</t>
  </si>
  <si>
    <t>St Christine</t>
  </si>
  <si>
    <t>Celeryville Christian</t>
  </si>
  <si>
    <t>St Ann</t>
  </si>
  <si>
    <t>St John The Baptist</t>
  </si>
  <si>
    <t>Our Lady Of Peace</t>
  </si>
  <si>
    <t>Lial Catholic School</t>
  </si>
  <si>
    <t>St Angela Merici</t>
  </si>
  <si>
    <t>Central Catholic</t>
  </si>
  <si>
    <t>The Wellington School</t>
  </si>
  <si>
    <t>Gesu</t>
  </si>
  <si>
    <t>John F. Kennedy Catholic Lower School</t>
  </si>
  <si>
    <t>Emmanuel Christian Academy</t>
  </si>
  <si>
    <t>St Aloysius</t>
  </si>
  <si>
    <t>St Sylvester</t>
  </si>
  <si>
    <t>All Saints Of St John Vianney</t>
  </si>
  <si>
    <t>Queen Of Peace</t>
  </si>
  <si>
    <t>St Anselm</t>
  </si>
  <si>
    <t>Granville Christian Academy</t>
  </si>
  <si>
    <t>Troy Christian Elementary School</t>
  </si>
  <si>
    <t>Gross Schechter Day School</t>
  </si>
  <si>
    <t>Maumee Valley Country Day</t>
  </si>
  <si>
    <t>Wm V Fisher Catholic</t>
  </si>
  <si>
    <t>St Francis</t>
  </si>
  <si>
    <t>St. Benedict the Moor Catholic School</t>
  </si>
  <si>
    <t>Christ The King</t>
  </si>
  <si>
    <t>St. John XXIII Catholic School</t>
  </si>
  <si>
    <t>Mater Dei Academy</t>
  </si>
  <si>
    <t>Bethany Lutheran School</t>
  </si>
  <si>
    <t>St James</t>
  </si>
  <si>
    <t>St Christopher</t>
  </si>
  <si>
    <t>St Michael Consolidated</t>
  </si>
  <si>
    <t>St Vincent De Paul</t>
  </si>
  <si>
    <t>Divine Mercy School</t>
  </si>
  <si>
    <t>Rosemont Center</t>
  </si>
  <si>
    <t>Troy Christian High School</t>
  </si>
  <si>
    <t>Christian Academy Schools</t>
  </si>
  <si>
    <t>Polaris Christian Academy</t>
  </si>
  <si>
    <t>Worthington Christian Kindergarten/Middle School</t>
  </si>
  <si>
    <t>Notre Dame Academy</t>
  </si>
  <si>
    <t>Notre Dame-Cathedral Latin</t>
  </si>
  <si>
    <t>Central Christian</t>
  </si>
  <si>
    <t>Legacy Christian Academy</t>
  </si>
  <si>
    <t>St Aloysius Gonzaga</t>
  </si>
  <si>
    <t>Trinity</t>
  </si>
  <si>
    <t>St Francis De Sales</t>
  </si>
  <si>
    <t>St Dominic</t>
  </si>
  <si>
    <t>The Bridge Avenue School</t>
  </si>
  <si>
    <t>St Barnabas</t>
  </si>
  <si>
    <t>Beaumont School</t>
  </si>
  <si>
    <t>Monarch School of Bellefaire JCB</t>
  </si>
  <si>
    <t>St Jude</t>
  </si>
  <si>
    <t>Ascension</t>
  </si>
  <si>
    <t>Notre Dame</t>
  </si>
  <si>
    <t>St Pius X</t>
  </si>
  <si>
    <t>Calvary Christian School</t>
  </si>
  <si>
    <t>Lima Central Catholic</t>
  </si>
  <si>
    <t>Gloria Dei Montessori</t>
  </si>
  <si>
    <t>Holy Rosary</t>
  </si>
  <si>
    <t>Guardian Angels</t>
  </si>
  <si>
    <t>Bishop Watterson</t>
  </si>
  <si>
    <t>Hillcrest Training School</t>
  </si>
  <si>
    <t>The CinDay Academy</t>
  </si>
  <si>
    <t>St Benedict Catholic School</t>
  </si>
  <si>
    <t>Saint Bridget of Kildare School</t>
  </si>
  <si>
    <t>Notre Dame School</t>
  </si>
  <si>
    <t>St Ursula Villa</t>
  </si>
  <si>
    <t>Our Lady of the Lake School</t>
  </si>
  <si>
    <t>St Charles Borromeo</t>
  </si>
  <si>
    <t>Christian Life Academy</t>
  </si>
  <si>
    <t>Lakewood Catholic Academy</t>
  </si>
  <si>
    <t>St Michael the Archangel School</t>
  </si>
  <si>
    <t>Jefferson County Christian</t>
  </si>
  <si>
    <t>Worthington Christian High School</t>
  </si>
  <si>
    <t>Immaculate Heart Of Mary</t>
  </si>
  <si>
    <t>Archbishop Alter</t>
  </si>
  <si>
    <t>SS Robert and William School</t>
  </si>
  <si>
    <t>St Gerard</t>
  </si>
  <si>
    <t>Summit Country Day</t>
  </si>
  <si>
    <t>St Leo The Great</t>
  </si>
  <si>
    <t>Cincinnati Hebrew Day Chofetz</t>
  </si>
  <si>
    <t>Ursuline</t>
  </si>
  <si>
    <t>Akiva Academy</t>
  </si>
  <si>
    <t>St Gertrude</t>
  </si>
  <si>
    <t>Madison Christian School</t>
  </si>
  <si>
    <t>Springfield Christian</t>
  </si>
  <si>
    <t>Nativity</t>
  </si>
  <si>
    <t>St Mary Of The Assumption</t>
  </si>
  <si>
    <t>St Francis Seraph</t>
  </si>
  <si>
    <t>St Luke</t>
  </si>
  <si>
    <t>Cardinal Pacelli</t>
  </si>
  <si>
    <t>St Agatha</t>
  </si>
  <si>
    <t>Emmanuel  Christian School</t>
  </si>
  <si>
    <t>St Xavier</t>
  </si>
  <si>
    <t>Harvest Preparatory School</t>
  </si>
  <si>
    <t>Archbishop Hoban</t>
  </si>
  <si>
    <t>St Albert The Great</t>
  </si>
  <si>
    <t>St Bernard School</t>
  </si>
  <si>
    <t>Sts Joseph &amp; John Interparochi</t>
  </si>
  <si>
    <t>St Charles</t>
  </si>
  <si>
    <t>St Paul</t>
  </si>
  <si>
    <t>St Columban</t>
  </si>
  <si>
    <t>Holy Name High School</t>
  </si>
  <si>
    <t>Bishop Flaget School</t>
  </si>
  <si>
    <t>Holy Angels</t>
  </si>
  <si>
    <t>St Mary Of The Falls</t>
  </si>
  <si>
    <t>St Jerome</t>
  </si>
  <si>
    <t>St Hilary</t>
  </si>
  <si>
    <t>Open Door Christian Schools</t>
  </si>
  <si>
    <t>Bishop Hoffman Catholic, St Joseph Central Catholic HS</t>
  </si>
  <si>
    <t>Notre Dame Jr/Sr</t>
  </si>
  <si>
    <t>St Antoninus</t>
  </si>
  <si>
    <t>Mother Teresa Catholic</t>
  </si>
  <si>
    <t>Bishop Leibold E And W Campus</t>
  </si>
  <si>
    <t>Fuchs Mizrachi Of Cleveland</t>
  </si>
  <si>
    <t>Worthington Christian Westview Elementary School</t>
  </si>
  <si>
    <t>Bishop Fenwick</t>
  </si>
  <si>
    <t>John Paul II Catholic School</t>
  </si>
  <si>
    <t>St Susanna</t>
  </si>
  <si>
    <t>Mount Notre Dame</t>
  </si>
  <si>
    <t>Bishop John King Mussio Central Elementary - Rosemont Campus</t>
  </si>
  <si>
    <t>Hillsboro Christian Academy</t>
  </si>
  <si>
    <t>Gesu Catholic School</t>
  </si>
  <si>
    <t>Bishop Hartley</t>
  </si>
  <si>
    <t>Fairfield Christian Academy</t>
  </si>
  <si>
    <t>Our Lady Of Perpetual Help</t>
  </si>
  <si>
    <t>Lake Catholic</t>
  </si>
  <si>
    <t>Our Lady Of Visitation</t>
  </si>
  <si>
    <t>Cardinal Mooney</t>
  </si>
  <si>
    <t>Mercy McAuley High School</t>
  </si>
  <si>
    <t>St Andrew</t>
  </si>
  <si>
    <t>St Margaret Of York</t>
  </si>
  <si>
    <t>Grove City Christian</t>
  </si>
  <si>
    <t>Nicholas School</t>
  </si>
  <si>
    <t>Norwalk Catholic School</t>
  </si>
  <si>
    <t>Shepherd Christian</t>
  </si>
  <si>
    <t>Elyria Catholic</t>
  </si>
  <si>
    <t>Sacred Heart Of Jesus</t>
  </si>
  <si>
    <t>St Catharine</t>
  </si>
  <si>
    <t>St Matthew</t>
  </si>
  <si>
    <t>St Thomas Aquinas</t>
  </si>
  <si>
    <t>Benedictine</t>
  </si>
  <si>
    <t>St Peter High School and Junior High School</t>
  </si>
  <si>
    <t>St Timothy</t>
  </si>
  <si>
    <t>Padua Franciscan</t>
  </si>
  <si>
    <t>McNicholas</t>
  </si>
  <si>
    <t>Cardinal Stritch Catholic High School &amp; Academy</t>
  </si>
  <si>
    <t>St Raphael</t>
  </si>
  <si>
    <t>Mansfield Christian School</t>
  </si>
  <si>
    <t>St John's Jesuit</t>
  </si>
  <si>
    <t>St Columbkille</t>
  </si>
  <si>
    <t>Ohio Valley Voices</t>
  </si>
  <si>
    <t>Our Lady Of Victory</t>
  </si>
  <si>
    <t>Calvert Catholic Schools</t>
  </si>
  <si>
    <t>Bishop Fenwick School</t>
  </si>
  <si>
    <t>Carroll</t>
  </si>
  <si>
    <t>Incarnation</t>
  </si>
  <si>
    <t>Nightingale Montessori Inc</t>
  </si>
  <si>
    <t>Roger Bacon</t>
  </si>
  <si>
    <t>Elder</t>
  </si>
  <si>
    <t>Saint John School</t>
  </si>
  <si>
    <t>ACLD School</t>
  </si>
  <si>
    <t>Portsmouth Stem Academy</t>
  </si>
  <si>
    <t>Skyward Academy</t>
  </si>
  <si>
    <t>Stephen T Badin</t>
  </si>
  <si>
    <t>St Rita School for the Deaf</t>
  </si>
  <si>
    <t>Lasalle</t>
  </si>
  <si>
    <t>St Ignatius Loyola</t>
  </si>
  <si>
    <t>Lake Center Christian School</t>
  </si>
  <si>
    <t>St Vincent St Mary</t>
  </si>
  <si>
    <t>The Center for Autism and Dyslexia</t>
  </si>
  <si>
    <t>Julie Billiart School of St Sebastian Parish</t>
  </si>
  <si>
    <t>Moeller</t>
  </si>
  <si>
    <t>Valley Christian School</t>
  </si>
  <si>
    <t>St John Elementary and High School</t>
  </si>
  <si>
    <t>St Francis De Sales School</t>
  </si>
  <si>
    <t>New Horizons Academy at Sara's Garden</t>
  </si>
  <si>
    <t>Spectrum Resource Center and School</t>
  </si>
  <si>
    <t>S.U.P.E.R. Learning Center's Faith Christian Academy</t>
  </si>
  <si>
    <t>St Aloysius Educational Center</t>
  </si>
  <si>
    <t>Julie Billiart</t>
  </si>
  <si>
    <t>Potential Development/Autism</t>
  </si>
  <si>
    <t>Not Started",N/A"</t>
  </si>
  <si>
    <t>Ashtabula Montessori School</t>
  </si>
  <si>
    <t>Wooster Christian</t>
  </si>
  <si>
    <t>St Mark</t>
  </si>
  <si>
    <t>Clintonville Academy</t>
  </si>
  <si>
    <t>St Ambrose</t>
  </si>
  <si>
    <t>Mercy Montessori Center</t>
  </si>
  <si>
    <t>St Mary Byzantine</t>
  </si>
  <si>
    <t>Ramah Junior Academy</t>
  </si>
  <si>
    <t>Cleveland Montessori</t>
  </si>
  <si>
    <t>Ratner School, The</t>
  </si>
  <si>
    <t>St Adalbert</t>
  </si>
  <si>
    <t>Columbus Torah Academy</t>
  </si>
  <si>
    <t>CCMT Catholic School</t>
  </si>
  <si>
    <t>Sandusky Central Catholic School</t>
  </si>
  <si>
    <t>The Good Shepherd Catholic Montessori</t>
  </si>
  <si>
    <t>St Agatha-St Aloysius</t>
  </si>
  <si>
    <t>Jacob Sapirstein Campus - Hebrew Academy of Cleveland</t>
  </si>
  <si>
    <t>Seton</t>
  </si>
  <si>
    <t>Mother Maria Anna Brunner Catholic</t>
  </si>
  <si>
    <t>St Vincent Ferrer</t>
  </si>
  <si>
    <t>Central Catholic Tuscarawas Co</t>
  </si>
  <si>
    <t>Magnificat</t>
  </si>
  <si>
    <t>St Brigid Of Kildare</t>
  </si>
  <si>
    <t>Harambee Christian</t>
  </si>
  <si>
    <t>Our Lady Of Lourdes</t>
  </si>
  <si>
    <t>Cincinnati Hills-Otto Armleder</t>
  </si>
  <si>
    <t>Annunciation</t>
  </si>
  <si>
    <t>Joseph and Florence Mandel Jewish Day School</t>
  </si>
  <si>
    <t>Corryville Catholic</t>
  </si>
  <si>
    <t>Gahanna Christian Academy</t>
  </si>
  <si>
    <t>Cypress Christian</t>
  </si>
  <si>
    <t>The Bounty Collegium</t>
  </si>
  <si>
    <t>Dayton Islamic School, Inc</t>
  </si>
  <si>
    <t>Holy Cross Lutheran School</t>
  </si>
  <si>
    <t>St Catharine Of Siena</t>
  </si>
  <si>
    <t>St Stanislaus</t>
  </si>
  <si>
    <t>Hebrew Academy Of Cleveland</t>
  </si>
  <si>
    <t>Purcell-Marian</t>
  </si>
  <si>
    <t>Cristo Rey Columbus High School</t>
  </si>
  <si>
    <t>Saint Martin de Porres High School</t>
  </si>
  <si>
    <t>Holy Spirit</t>
  </si>
  <si>
    <t>Heritage Christian</t>
  </si>
  <si>
    <t>Eastwood Seventh-day Adventist Junior Academy</t>
  </si>
  <si>
    <t>Calumet Christian</t>
  </si>
  <si>
    <t>St Martin Of Tours</t>
  </si>
  <si>
    <t>Cleveland Central Catholic</t>
  </si>
  <si>
    <t>Tuscarawas Central Catholic Elementary School</t>
  </si>
  <si>
    <t>St Vivian</t>
  </si>
  <si>
    <t>Toledo Islamic Academy</t>
  </si>
  <si>
    <t>St Cecilia</t>
  </si>
  <si>
    <t>Columbus Montessori Ed Ctr</t>
  </si>
  <si>
    <t>Clifton Christian Academy</t>
  </si>
  <si>
    <t>Rockwern Academy</t>
  </si>
  <si>
    <t>Our Lady Of Angels</t>
  </si>
  <si>
    <t>Villa Angela-St Joseph</t>
  </si>
  <si>
    <t>Chaminade-Julienne</t>
  </si>
  <si>
    <t>Our Lady Of Mt Carmel West</t>
  </si>
  <si>
    <t>St Teresa Of Avila</t>
  </si>
  <si>
    <t>Bishop Ready</t>
  </si>
  <si>
    <t>Our Lady of Grace Catholic School</t>
  </si>
  <si>
    <t>St Rocco</t>
  </si>
  <si>
    <t>Resurrection</t>
  </si>
  <si>
    <t>St Francis Xavier</t>
  </si>
  <si>
    <t>Al Ihsan Islamic School</t>
  </si>
  <si>
    <t>Parma Heights Christian Acad</t>
  </si>
  <si>
    <t>Urban Community</t>
  </si>
  <si>
    <t>St Ignatius</t>
  </si>
  <si>
    <t>GEC School</t>
  </si>
  <si>
    <t>Mary Queen of Peace School</t>
  </si>
  <si>
    <t>Fugees Academy</t>
  </si>
  <si>
    <t>International Academy Of Cincinnati, Inc.</t>
  </si>
  <si>
    <t>DePaul Cristo Rey High School</t>
  </si>
  <si>
    <t>Brice Christian Academy</t>
  </si>
  <si>
    <t>St William</t>
  </si>
  <si>
    <t>Luther Memorial</t>
  </si>
  <si>
    <t>Mayfair Christian School</t>
  </si>
  <si>
    <t>Metro Catholic Parish</t>
  </si>
  <si>
    <t>Tooba Academy</t>
  </si>
  <si>
    <t>Our Lady Of Rosary</t>
  </si>
  <si>
    <t>St Clement</t>
  </si>
  <si>
    <t>St Mary Magdalene</t>
  </si>
  <si>
    <t>All Saints Academy</t>
  </si>
  <si>
    <t>Sonshine Christian Academy</t>
  </si>
  <si>
    <t>St James The Less</t>
  </si>
  <si>
    <t>Faith Islamic Academy</t>
  </si>
  <si>
    <t>Liberty Bible Academy</t>
  </si>
  <si>
    <t>Schilling School For Gifted</t>
  </si>
  <si>
    <t>Joyland Presch &amp; Kindergarten</t>
  </si>
  <si>
    <t>New Hope Christian Academy</t>
  </si>
  <si>
    <t>Minerva Area Christian</t>
  </si>
  <si>
    <t>Cornerstone Christian Academy</t>
  </si>
  <si>
    <t>Holy Cross Prek And Kdg</t>
  </si>
  <si>
    <t>Cleveland Clinic Lerner School for Autism</t>
  </si>
  <si>
    <t>Creative Playrooms Strongsvill</t>
  </si>
  <si>
    <t>Prep Academy Schools</t>
  </si>
  <si>
    <t>Kids Country-Green Campus</t>
  </si>
  <si>
    <t>St Mark's Evangelical Lutheran</t>
  </si>
  <si>
    <t>KinderCare Learning Center</t>
  </si>
  <si>
    <t>Childrens House-Kdg-Bridgetown</t>
  </si>
  <si>
    <t>Springs East School</t>
  </si>
  <si>
    <t>Hanna Perkins</t>
  </si>
  <si>
    <t>Tree Of Life-Dublin Branch</t>
  </si>
  <si>
    <t>Withdrawn",N/A"</t>
  </si>
  <si>
    <t>Kids Country</t>
  </si>
  <si>
    <t>Jolly Tots Too!</t>
  </si>
  <si>
    <t>Miami Valley Christian Academy</t>
  </si>
  <si>
    <t>Akron Montessori</t>
  </si>
  <si>
    <t>Heartland Christian School</t>
  </si>
  <si>
    <t>Children's House-Delhi, The</t>
  </si>
  <si>
    <t>Pike Christian Academy</t>
  </si>
  <si>
    <t>Decolores Montessori School</t>
  </si>
  <si>
    <t>Miracle City Academy</t>
  </si>
  <si>
    <t>Terry's Montessori School</t>
  </si>
  <si>
    <t>Village Christian Schools</t>
  </si>
  <si>
    <t>Smoky Row Children's Center</t>
  </si>
  <si>
    <t>Scribes And Scribblers Devl Ct</t>
  </si>
  <si>
    <t>Central Montessori Academy</t>
  </si>
  <si>
    <t>Weaver Child Development Center, Inc</t>
  </si>
  <si>
    <t>Lewis Little Folks Inc</t>
  </si>
  <si>
    <t>Hitchcock Woods</t>
  </si>
  <si>
    <t>Kids Country School</t>
  </si>
  <si>
    <t>Montessori Community</t>
  </si>
  <si>
    <t>Temple Tots</t>
  </si>
  <si>
    <t>Le Chaperon Rouge-Strongsville</t>
  </si>
  <si>
    <t>Le Chaperon Rouge-Avon</t>
  </si>
  <si>
    <t>Lebanon United Methodist Kdg</t>
  </si>
  <si>
    <t>Kingsway Christian</t>
  </si>
  <si>
    <t>Westlake Montessori</t>
  </si>
  <si>
    <t>Solon Creative Playrooms</t>
  </si>
  <si>
    <t>Maple Hts Creative Playrooms</t>
  </si>
  <si>
    <t>Willoughby Montessori Dayschl</t>
  </si>
  <si>
    <t>Le Chaperon Rouge-Westlake</t>
  </si>
  <si>
    <t>East Richland Christian Schools</t>
  </si>
  <si>
    <t xml:space="preserve">Village Academy </t>
  </si>
  <si>
    <t>Osu Child Care Center</t>
  </si>
  <si>
    <t>Martins Ferry Christian</t>
  </si>
  <si>
    <t>Mansion Day School - Excel Preparatory Schools</t>
  </si>
  <si>
    <t>Children's Academy</t>
  </si>
  <si>
    <t>St Vincent Family Centers</t>
  </si>
  <si>
    <t>Salem Christian Academy, LLC</t>
  </si>
  <si>
    <t>Birchwood</t>
  </si>
  <si>
    <t>Nurtury</t>
  </si>
  <si>
    <t>Spring Garden</t>
  </si>
  <si>
    <t>Linden Grove School</t>
  </si>
  <si>
    <t>Dayton Montessori Society</t>
  </si>
  <si>
    <t>Alexandria Montessori</t>
  </si>
  <si>
    <t>Blue Ash Educational Bldg</t>
  </si>
  <si>
    <t>Fairfield Educational Building</t>
  </si>
  <si>
    <t>Eastern Hills Educational Bldg</t>
  </si>
  <si>
    <t>New Beginnings Christian</t>
  </si>
  <si>
    <t>Christian Star Academy</t>
  </si>
  <si>
    <t>South Suburban Montessori</t>
  </si>
  <si>
    <t>Montessori Children's School</t>
  </si>
  <si>
    <t>Welsh Hills School</t>
  </si>
  <si>
    <t>Nicholas-Liberty</t>
  </si>
  <si>
    <t>Grace Christian School</t>
  </si>
  <si>
    <t>Marburn Academy</t>
  </si>
  <si>
    <t>Tree Of Life-Northridge Branch</t>
  </si>
  <si>
    <t>Massillon Christian</t>
  </si>
  <si>
    <t>Middletown Christian</t>
  </si>
  <si>
    <t>Tree Of Life-Indianola Branch</t>
  </si>
  <si>
    <t>Valley Christian Academy</t>
  </si>
  <si>
    <t>Toledo Christian</t>
  </si>
  <si>
    <t>Chapel Hill Christian Green Campus</t>
  </si>
  <si>
    <t>Discovery</t>
  </si>
  <si>
    <t>Ruffing Montessori Rocky River</t>
  </si>
  <si>
    <t>Zanesville Seventh-Day Advent</t>
  </si>
  <si>
    <t>Willo-Hill Christian School</t>
  </si>
  <si>
    <t>First Baptist Christian</t>
  </si>
  <si>
    <t>Lawrence School</t>
  </si>
  <si>
    <t>Zion Lutheran</t>
  </si>
  <si>
    <t>Ashland Christian</t>
  </si>
  <si>
    <t>Springer School &amp; Center</t>
  </si>
  <si>
    <t>Dayton Christian School</t>
  </si>
  <si>
    <t>The Lippman School</t>
  </si>
  <si>
    <t>Central Baptist Academy - Elementary</t>
  </si>
  <si>
    <t>Lake Ridge Academy</t>
  </si>
  <si>
    <t>Grand River Academy</t>
  </si>
  <si>
    <t>The University School</t>
  </si>
  <si>
    <t>Trinity Ev Lutheran</t>
  </si>
  <si>
    <t>Old Trail</t>
  </si>
  <si>
    <t>Hawken Lower-Middle</t>
  </si>
  <si>
    <t>Chapel Hill Christian North</t>
  </si>
  <si>
    <t>Canton Country Day School</t>
  </si>
  <si>
    <t>St Thomas Lutheran</t>
  </si>
  <si>
    <t>St Matthew Parish School</t>
  </si>
  <si>
    <t>Western Reserve Academy</t>
  </si>
  <si>
    <t>The University School - College Prep</t>
  </si>
  <si>
    <t>Telshe</t>
  </si>
  <si>
    <t>St John Central</t>
  </si>
  <si>
    <t>Lutheran West</t>
  </si>
  <si>
    <t>Hawken School</t>
  </si>
  <si>
    <t>Hathaway Brown</t>
  </si>
  <si>
    <t>Gilmour Academy</t>
  </si>
  <si>
    <t>Olney Friends</t>
  </si>
  <si>
    <t>Spring Valley Academy</t>
  </si>
  <si>
    <t>Columbus School For Girls</t>
  </si>
  <si>
    <t>Columbus Academy</t>
  </si>
  <si>
    <t>Seven Hills School</t>
  </si>
  <si>
    <t>Cincinnati Country Day</t>
  </si>
  <si>
    <t>High Street Christian Academy</t>
  </si>
  <si>
    <t>Submitted",N/A"</t>
  </si>
  <si>
    <t>Judah Academy</t>
  </si>
  <si>
    <t>Haugland Learning Center - Columbus East</t>
  </si>
  <si>
    <t>Almadina Academy</t>
  </si>
  <si>
    <t>Tree of Life Christian Schools</t>
  </si>
  <si>
    <t>New Horizons Academy Springfield</t>
  </si>
  <si>
    <t>The Garden Christian Academy</t>
  </si>
  <si>
    <t>Azalea Montessori School</t>
  </si>
  <si>
    <t>Christian Faith Academy</t>
  </si>
  <si>
    <t>Heartland High School</t>
  </si>
  <si>
    <t>St  John Central Academy</t>
  </si>
  <si>
    <t>Insightful Minds</t>
  </si>
  <si>
    <t>Community Montessori School</t>
  </si>
  <si>
    <t>Harvest Temple Christian Academy</t>
  </si>
  <si>
    <t>TES School</t>
  </si>
  <si>
    <t>Sleek Academy</t>
  </si>
  <si>
    <t>Summit Academy of Southwest Ohio</t>
  </si>
  <si>
    <t>Haugland Learning Center - Athens</t>
  </si>
  <si>
    <t>The Goddard School of Centerville</t>
  </si>
  <si>
    <t>Makarios Autism Center</t>
  </si>
  <si>
    <t>Germantown Christian Schools</t>
  </si>
  <si>
    <t>Creative World of Montessori-Wilmington Pike</t>
  </si>
  <si>
    <t>Valley Christian Schools Trumbull Campus</t>
  </si>
  <si>
    <t>Haugland Learning Center Lancaster</t>
  </si>
  <si>
    <t>Dominion Academy of Dayton</t>
  </si>
  <si>
    <t>The Golden Key Center for Exceptional Children</t>
  </si>
  <si>
    <t>Pembroke Day School</t>
  </si>
  <si>
    <t>Catapult Learning</t>
  </si>
  <si>
    <t>Covenant Christian Academy</t>
  </si>
  <si>
    <t>Le Chaperon Rouge - Solon</t>
  </si>
  <si>
    <t>Le Chaperon Rouge - Rocky River</t>
  </si>
  <si>
    <t>Creative World of Montessori-Beavercreek</t>
  </si>
  <si>
    <t>Haugland Learning Center-Dublin</t>
  </si>
  <si>
    <t>Fountain City Christian School</t>
  </si>
  <si>
    <t>Center for Adolescent Services</t>
  </si>
  <si>
    <t>Discovery Express School</t>
  </si>
  <si>
    <t>The Center for Autism and Dyslexia Findlay</t>
  </si>
  <si>
    <t>Crossroads Christian Academy</t>
  </si>
  <si>
    <t>Eagle Wings Academy</t>
  </si>
  <si>
    <t>Fairfield Christian School</t>
  </si>
  <si>
    <t>Haugland Learning Center - Sandusky</t>
  </si>
  <si>
    <t>Le Chaperon Rouge - Independence</t>
  </si>
  <si>
    <t>Grace Community School</t>
  </si>
  <si>
    <t>Ross County Christian Academy</t>
  </si>
  <si>
    <t>Paint Creek Academy</t>
  </si>
  <si>
    <t>Wilmington Christian Academy</t>
  </si>
  <si>
    <t>Kinder Garden School, West Chester</t>
  </si>
  <si>
    <t>Oakstone Academy Middle/High School</t>
  </si>
  <si>
    <t>Monclova Christian School</t>
  </si>
  <si>
    <t>Coshocton Christian School</t>
  </si>
  <si>
    <t>Genoa Christian Academy</t>
  </si>
  <si>
    <t>Creative World of Montessori</t>
  </si>
  <si>
    <t>Lawrence School-Upper School Campus</t>
  </si>
  <si>
    <t xml:space="preserve">The Goddard School </t>
  </si>
  <si>
    <t>Heaven's Treasures Academy</t>
  </si>
  <si>
    <t>Ohio Valley Christian School</t>
  </si>
  <si>
    <t>Linworth Children's Center</t>
  </si>
  <si>
    <t>Le Chaperon Rouge- Hudson Campus</t>
  </si>
  <si>
    <t>Lebanon Christian School</t>
  </si>
  <si>
    <t xml:space="preserve"> STATE ADM STATUS</t>
  </si>
  <si>
    <t>EL Weight</t>
  </si>
  <si>
    <t>EL</t>
  </si>
  <si>
    <t>SPED Weight</t>
  </si>
  <si>
    <t>SPED</t>
  </si>
  <si>
    <t>Low Income Weight</t>
  </si>
  <si>
    <t>Low Income</t>
  </si>
  <si>
    <t xml:space="preserve"> NONPUBLIC SCHOOL</t>
  </si>
  <si>
    <t xml:space="preserve"> IRN</t>
  </si>
  <si>
    <t>APP PERIOD</t>
  </si>
  <si>
    <t>Non-Public</t>
  </si>
  <si>
    <t xml:space="preserve"> Unweighted Enrollment</t>
  </si>
  <si>
    <t>FUNDED FY20 ADM TOTAL</t>
  </si>
  <si>
    <t>1 - Rural - High Poverty</t>
  </si>
  <si>
    <t>2 - Rural - Average Poverty</t>
  </si>
  <si>
    <t>Base CRF Funding</t>
  </si>
  <si>
    <t>Weighted CRF Funding</t>
  </si>
  <si>
    <t>017537</t>
  </si>
  <si>
    <t>Capital Collegiate Preparatory Academy</t>
  </si>
  <si>
    <t>017497</t>
  </si>
  <si>
    <t>Cypress High School</t>
  </si>
  <si>
    <t>017535</t>
  </si>
  <si>
    <t>Huber Heights Preparatory Academy dba Parma Academy</t>
  </si>
  <si>
    <t>017536</t>
  </si>
  <si>
    <t>Kenmore Preparatory Academy dba Toledo Preparatory Academy</t>
  </si>
  <si>
    <t>017585</t>
  </si>
  <si>
    <t>Marion Preparatory Academy</t>
  </si>
  <si>
    <t>017538</t>
  </si>
  <si>
    <t>North Columbus Preparatory Academy</t>
  </si>
  <si>
    <t>Ohio Digital Learning School</t>
  </si>
  <si>
    <t>151209</t>
  </si>
  <si>
    <t>Randall Park High School</t>
  </si>
  <si>
    <t>017490</t>
  </si>
  <si>
    <t>ReGeneration Bond Hill</t>
  </si>
  <si>
    <t>017599</t>
  </si>
  <si>
    <t>Urban Male Tech Academy</t>
  </si>
  <si>
    <t xml:space="preserve"> Weighted Enrollment</t>
  </si>
  <si>
    <t xml:space="preserve"> Count by Type</t>
  </si>
  <si>
    <t>Traditional District</t>
  </si>
  <si>
    <t>Non-Public School</t>
  </si>
  <si>
    <t>North Columbus Preparatory Aca</t>
  </si>
  <si>
    <t>Kenmore Prep dba Toledo Prep</t>
  </si>
  <si>
    <t>Huber Hght Prep dba Parma Acad</t>
  </si>
  <si>
    <t>Capital Collegiate Preparatory</t>
  </si>
  <si>
    <t>Total Weighted ADM</t>
  </si>
  <si>
    <t>ED Weight</t>
  </si>
  <si>
    <t>ED</t>
  </si>
  <si>
    <t>LEP Weight</t>
  </si>
  <si>
    <t>LEP</t>
  </si>
  <si>
    <t>College Corner Local</t>
  </si>
  <si>
    <t>0 - Island/Other</t>
  </si>
  <si>
    <t>Kelleys Island Local SD</t>
  </si>
  <si>
    <t>College Corner Local SD</t>
  </si>
  <si>
    <t>046797</t>
  </si>
  <si>
    <t>064964</t>
  </si>
  <si>
    <t>Kelleys Island Local</t>
  </si>
  <si>
    <t>Brick and Mortar</t>
  </si>
  <si>
    <t>E-School</t>
  </si>
  <si>
    <t xml:space="preserve"> Base Funding</t>
  </si>
  <si>
    <t xml:space="preserve"> Weighted Funding</t>
  </si>
  <si>
    <t>Transportation Funding</t>
  </si>
  <si>
    <t xml:space="preserve"> Average Funding per Entity</t>
  </si>
  <si>
    <t>Average Funding Per Pupil</t>
  </si>
  <si>
    <t>County</t>
  </si>
  <si>
    <t>Franklin</t>
  </si>
  <si>
    <t>Cuyahoga</t>
  </si>
  <si>
    <t>Hamilton</t>
  </si>
  <si>
    <t>Lucas</t>
  </si>
  <si>
    <t>Summit</t>
  </si>
  <si>
    <t>Delaware</t>
  </si>
  <si>
    <t>Butler</t>
  </si>
  <si>
    <t>Montgomery</t>
  </si>
  <si>
    <t>Fairfield</t>
  </si>
  <si>
    <t>Warren</t>
  </si>
  <si>
    <t>Stark</t>
  </si>
  <si>
    <t>Clermont</t>
  </si>
  <si>
    <t>Greene</t>
  </si>
  <si>
    <t>Lake</t>
  </si>
  <si>
    <t>Clark</t>
  </si>
  <si>
    <t>Medina</t>
  </si>
  <si>
    <t>Licking</t>
  </si>
  <si>
    <t>Lorain</t>
  </si>
  <si>
    <t>Hancock</t>
  </si>
  <si>
    <t>Wood</t>
  </si>
  <si>
    <t>Mahoning</t>
  </si>
  <si>
    <t>Union</t>
  </si>
  <si>
    <t>Trumbull</t>
  </si>
  <si>
    <t>Marion</t>
  </si>
  <si>
    <t>Pickaway</t>
  </si>
  <si>
    <t>Miami</t>
  </si>
  <si>
    <t>Hocking</t>
  </si>
  <si>
    <t>Adams</t>
  </si>
  <si>
    <t>Knox</t>
  </si>
  <si>
    <t>Allen</t>
  </si>
  <si>
    <t>Sandusky</t>
  </si>
  <si>
    <t>Wayne</t>
  </si>
  <si>
    <t>Ashtabula</t>
  </si>
  <si>
    <t>Richland</t>
  </si>
  <si>
    <t>Portage</t>
  </si>
  <si>
    <t>Erie</t>
  </si>
  <si>
    <t>Ashland</t>
  </si>
  <si>
    <t>Muskingum</t>
  </si>
  <si>
    <t>Shelby</t>
  </si>
  <si>
    <t>Tuscarawas</t>
  </si>
  <si>
    <t>Auglaize</t>
  </si>
  <si>
    <t>Brown</t>
  </si>
  <si>
    <t>Geauga</t>
  </si>
  <si>
    <t>Clinton</t>
  </si>
  <si>
    <t>Huron</t>
  </si>
  <si>
    <t>Mercer</t>
  </si>
  <si>
    <t>Ross</t>
  </si>
  <si>
    <t>Athens</t>
  </si>
  <si>
    <t>Seneca</t>
  </si>
  <si>
    <t>Jefferson</t>
  </si>
  <si>
    <t>Washington</t>
  </si>
  <si>
    <t>Darke</t>
  </si>
  <si>
    <t>Fayette</t>
  </si>
  <si>
    <t>Defiance</t>
  </si>
  <si>
    <t>Jackson</t>
  </si>
  <si>
    <t>Logan</t>
  </si>
  <si>
    <t>Highland</t>
  </si>
  <si>
    <t>Perry</t>
  </si>
  <si>
    <t>Gallia</t>
  </si>
  <si>
    <t>Madison</t>
  </si>
  <si>
    <t>Columbiana</t>
  </si>
  <si>
    <t>Holmes</t>
  </si>
  <si>
    <t>Van Wert</t>
  </si>
  <si>
    <t>Monroe</t>
  </si>
  <si>
    <t>Vinton</t>
  </si>
  <si>
    <t>Champaign</t>
  </si>
  <si>
    <t>Coshocton</t>
  </si>
  <si>
    <t>Guernsey</t>
  </si>
  <si>
    <t>Henry</t>
  </si>
  <si>
    <t>Williams</t>
  </si>
  <si>
    <t>Preble</t>
  </si>
  <si>
    <t>Pike</t>
  </si>
  <si>
    <t>Morrow</t>
  </si>
  <si>
    <t>Hardin</t>
  </si>
  <si>
    <t>Fulton</t>
  </si>
  <si>
    <t>Morgan</t>
  </si>
  <si>
    <t>Meigs</t>
  </si>
  <si>
    <t>Crawford</t>
  </si>
  <si>
    <t>Scioto</t>
  </si>
  <si>
    <t>Belmont</t>
  </si>
  <si>
    <t>Ottawa</t>
  </si>
  <si>
    <t>Lawrence</t>
  </si>
  <si>
    <t>Wyandot</t>
  </si>
  <si>
    <t>Putnam</t>
  </si>
  <si>
    <t>Harrison</t>
  </si>
  <si>
    <t>Paulding</t>
  </si>
  <si>
    <t>Noble</t>
  </si>
  <si>
    <t>Total CRF Funding</t>
  </si>
  <si>
    <t xml:space="preserve"> </t>
  </si>
  <si>
    <t xml:space="preserve">The following entities will receive support under the Coronavirus Relief Fund: </t>
  </si>
  <si>
    <t>Funds are distributed to traditional districts to support meeting their transportation obligations, including services for non-public school and community school students. Community schools that have assumed transportation of students also receive funding. This additional funding is based on the proportionate share for each district of the district’s calculated transportation funds in 2018-19. (About $1.04 billion in funding was calculated before equalizing and proration factors were applied to the payment.)</t>
  </si>
  <si>
    <t xml:space="preserve">Each entity will receive a base amount of funding. The CRF uses the counts of students for each school district, community school, STEM schools, and joint vocational school as reported on the 2018-19 report cards. This ensures that students are counted where they are educated and not double counted across entities. For County Board of Developmental Disabilities, school age student counts from the 2018-19 payment reports are used. For non-public schools, 2019-20 data reported in the Non-Public Data System is used. The exception to this base amount is made for e-schools. E-schools have a different operational structure, but should not be left out of the equation. E-schools will receive 20% of the base amount. </t>
  </si>
  <si>
    <r>
      <t>PURPOSE:</t>
    </r>
    <r>
      <rPr>
        <sz val="11"/>
        <rFont val="Calibri"/>
        <family val="2"/>
      </rPr>
      <t xml:space="preserve"> The CARES Act established the Coronavirus Relief Fund (CRF). Under the CARES Act, the CRF is to be used to make payments for specified uses to States and other major political subdivisions.</t>
    </r>
  </si>
  <si>
    <r>
      <t>·</t>
    </r>
    <r>
      <rPr>
        <sz val="11"/>
        <rFont val="Times New Roman"/>
        <family val="1"/>
      </rPr>
      <t xml:space="preserve">       </t>
    </r>
    <r>
      <rPr>
        <sz val="11"/>
        <rFont val="Calibri"/>
        <family val="2"/>
      </rPr>
      <t>Traditional Public Schools</t>
    </r>
  </si>
  <si>
    <r>
      <t>·</t>
    </r>
    <r>
      <rPr>
        <sz val="11"/>
        <rFont val="Times New Roman"/>
        <family val="1"/>
      </rPr>
      <t xml:space="preserve">       </t>
    </r>
    <r>
      <rPr>
        <sz val="11"/>
        <rFont val="Calibri"/>
        <family val="2"/>
      </rPr>
      <t>Community Schools (both brick and mortar and e-schools)</t>
    </r>
  </si>
  <si>
    <r>
      <t>·</t>
    </r>
    <r>
      <rPr>
        <sz val="11"/>
        <rFont val="Times New Roman"/>
        <family val="1"/>
      </rPr>
      <t xml:space="preserve">       </t>
    </r>
    <r>
      <rPr>
        <sz val="11"/>
        <rFont val="Calibri"/>
        <family val="2"/>
      </rPr>
      <t>County Boards of Developmental Disabilities</t>
    </r>
  </si>
  <si>
    <r>
      <t>·</t>
    </r>
    <r>
      <rPr>
        <sz val="11"/>
        <rFont val="Times New Roman"/>
        <family val="1"/>
      </rPr>
      <t xml:space="preserve">       </t>
    </r>
    <r>
      <rPr>
        <sz val="11"/>
        <rFont val="Calibri"/>
        <family val="2"/>
      </rPr>
      <t>Joint Vocational School Districts</t>
    </r>
  </si>
  <si>
    <r>
      <t>·</t>
    </r>
    <r>
      <rPr>
        <sz val="11"/>
        <rFont val="Times New Roman"/>
        <family val="1"/>
      </rPr>
      <t xml:space="preserve">       </t>
    </r>
    <r>
      <rPr>
        <sz val="11"/>
        <rFont val="Calibri"/>
        <family val="2"/>
      </rPr>
      <t>Independent STEM Schools</t>
    </r>
  </si>
  <si>
    <r>
      <t>·</t>
    </r>
    <r>
      <rPr>
        <sz val="11"/>
        <rFont val="Times New Roman"/>
        <family val="1"/>
      </rPr>
      <t xml:space="preserve">       </t>
    </r>
    <r>
      <rPr>
        <sz val="11"/>
        <rFont val="Calibri"/>
        <family val="2"/>
      </rPr>
      <t>Non-Public Schools</t>
    </r>
  </si>
  <si>
    <r>
      <t>A.</t>
    </r>
    <r>
      <rPr>
        <b/>
        <sz val="11"/>
        <rFont val="Times New Roman"/>
        <family val="1"/>
      </rPr>
      <t xml:space="preserve">     </t>
    </r>
    <r>
      <rPr>
        <b/>
        <u/>
        <sz val="11"/>
        <rFont val="Calibri"/>
        <family val="2"/>
      </rPr>
      <t>Base Amount - $54.5M (54.5%)</t>
    </r>
  </si>
  <si>
    <r>
      <t>B.</t>
    </r>
    <r>
      <rPr>
        <b/>
        <sz val="11"/>
        <rFont val="Times New Roman"/>
        <family val="1"/>
      </rPr>
      <t xml:space="preserve">     </t>
    </r>
    <r>
      <rPr>
        <b/>
        <u/>
        <sz val="11"/>
        <rFont val="Calibri"/>
        <family val="2"/>
      </rPr>
      <t>Weighted Amount - $24.7M (24.7%)</t>
    </r>
  </si>
  <si>
    <r>
      <t>C.</t>
    </r>
    <r>
      <rPr>
        <b/>
        <sz val="11"/>
        <rFont val="Times New Roman"/>
        <family val="1"/>
      </rPr>
      <t xml:space="preserve">     </t>
    </r>
    <r>
      <rPr>
        <b/>
        <u/>
        <sz val="11"/>
        <rFont val="Calibri"/>
        <family val="2"/>
      </rPr>
      <t>Transportation - $20.8M (20.8%)</t>
    </r>
  </si>
  <si>
    <r>
      <t xml:space="preserve">Note: </t>
    </r>
    <r>
      <rPr>
        <sz val="11"/>
        <rFont val="Calibri"/>
        <family val="2"/>
      </rPr>
      <t xml:space="preserve">The payment to any particular school or district may be offset should other federal resources become available for the same or related purposes. This is particularly applicable to Community Schools. </t>
    </r>
    <r>
      <rPr>
        <b/>
        <sz val="11"/>
        <rFont val="Calibri"/>
        <family val="2"/>
      </rPr>
      <t xml:space="preserve">
</t>
    </r>
    <r>
      <rPr>
        <sz val="11"/>
        <rFont val="Calibri"/>
        <family val="2"/>
      </rPr>
      <t xml:space="preserve">The distribution calculation is subject to change and the attached distribution is an estimate of anticipated disbursements. </t>
    </r>
  </si>
  <si>
    <t xml:space="preserve">In addition to the base amount, additional funds will be provided to schools and districts based on the number of low-income students, students with disabilities, and English learners. The same report card student counts are weighted according to the appropriate category (see ODE's website for more information on weighted student counts: http://education.ohio.gov/Topics/Finance-and-Funding/Finance-Related-Data/Expenditure-and-Revenue/Expenditure-Per-Pupil-Rankings). Based on feedback from schools and districts, the necessary expenses that might be incurred to serve these students are likely to be higher than the regular student. These weights are commonly used in the state’s Foundation Funding formula as representations of the relative cost to educate a student in each category. The unweighted student counts across all public and non-public schools and districts is 1.87 million students. The weighted enrollment across all entities is 2.18 million equivalent students. For County Board of Developmental Disabilities, special education weights are added to student counts. For non-public schools, special education students are not reported by category. As a result, the category 2 weight is applied to these special education student counts. E-schools will not receive this weighted funding. </t>
  </si>
  <si>
    <r>
      <t>DATE:</t>
    </r>
    <r>
      <rPr>
        <sz val="11"/>
        <rFont val="Calibri"/>
        <family val="2"/>
      </rPr>
      <t xml:space="preserve"> July 13, 2020</t>
    </r>
  </si>
  <si>
    <r>
      <t xml:space="preserve">ALLOCATION METHODOLOGY: </t>
    </r>
    <r>
      <rPr>
        <sz val="11"/>
        <rFont val="Calibri"/>
        <family val="2"/>
      </rPr>
      <t>The Ohio Department of Education served as a resource to the Office of Budget and Management the Governor's Office to developed an allocation methodology that is built on the principles of data availability, simplicity, and fairness, also recognizing that some students are likely to reflect greater costs than others. There are also variations among different types of schools.</t>
    </r>
  </si>
  <si>
    <r>
      <t>ELIGIBLE USES OF FUNDS:</t>
    </r>
    <r>
      <rPr>
        <sz val="11"/>
        <rFont val="Calibri"/>
        <family val="2"/>
      </rPr>
      <t xml:space="preserve"> The CARES Act requires the Coronavirus Relief Funds be used for expenditures incurred due the COVID-19 pandemic, for expenses beginning March 1, 2020 through December 30, 2020. Since these are non-recurring funds, schools will be expected to focus resources on items that do not reflect continuing costs. Additional guidance on the specific allowable uses of these funds will be released when funds are awarded.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</si>
</sst>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_(* #,##0_);_(* \(#,##0\);_(* &quot;-&quot;??_);_(@_)"/>
    <numFmt numFmtId="165" formatCode="0.0"/>
    <numFmt numFmtId="166" formatCode="0.0%"/>
  </numFmts>
  <fonts count="18">
    <font>
      <sz val="10"/>
      <name val="MS Sans Serif"/>
    </font>
    <font>
      <sz val="11"/>
      <color theme="1"/>
      <name val="Calibri"/>
      <family val="2"/>
      <scheme val="minor"/>
    </font>
    <font>
      <sz val="11"/>
      <color theme="1"/>
      <name val="Calibri"/>
      <family val="2"/>
      <scheme val="minor"/>
    </font>
    <font>
      <sz val="11"/>
      <color theme="1"/>
      <name val="Calibri"/>
      <family val="2"/>
      <scheme val="minor"/>
    </font>
    <font>
      <sz val="10"/>
      <name val="MS Sans Serif"/>
    </font>
    <font>
      <sz val="11"/>
      <name val="Calibri"/>
      <family val="2"/>
      <scheme val="minor"/>
    </font>
    <font>
      <sz val="10"/>
      <name val="Calibri"/>
      <family val="2"/>
      <scheme val="minor"/>
    </font>
    <font>
      <b/>
      <sz val="10"/>
      <name val="Calibri"/>
      <family val="2"/>
      <scheme val="minor"/>
    </font>
    <font>
      <i/>
      <sz val="11"/>
      <color rgb="FF7F7F7F"/>
      <name val="Calibri"/>
      <family val="2"/>
      <scheme val="minor"/>
    </font>
    <font>
      <b/>
      <sz val="11"/>
      <color theme="1"/>
      <name val="Calibri"/>
      <family val="2"/>
      <scheme val="minor"/>
    </font>
    <font>
      <b/>
      <sz val="11"/>
      <name val="Calibri"/>
      <family val="2"/>
      <scheme val="minor"/>
    </font>
    <font>
      <sz val="11"/>
      <name val="Calibri"/>
      <family val="2"/>
    </font>
    <font>
      <b/>
      <sz val="11"/>
      <name val="Calibri"/>
      <family val="2"/>
    </font>
    <font>
      <b/>
      <u/>
      <sz val="11"/>
      <name val="Calibri"/>
      <family val="2"/>
    </font>
    <font>
      <sz val="11"/>
      <name val="MS Sans Serif"/>
    </font>
    <font>
      <sz val="11"/>
      <name val="Symbol"/>
      <family val="1"/>
      <charset val="2"/>
    </font>
    <font>
      <sz val="11"/>
      <name val="Times New Roman"/>
      <family val="1"/>
    </font>
    <font>
      <b/>
      <sz val="11"/>
      <name val="Times New Roman"/>
      <family val="1"/>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theme="0"/>
        <bgColor theme="6" tint="0.79998168889431442"/>
      </patternFill>
    </fill>
    <fill>
      <patternFill patternType="solid">
        <fgColor theme="4" tint="0.79998168889431442"/>
        <bgColor indexed="64"/>
      </patternFill>
    </fill>
  </fills>
  <borders count="7">
    <border>
      <left/>
      <right/>
      <top/>
      <bottom/>
      <diagonal/>
    </border>
    <border>
      <left style="thin">
        <color theme="6"/>
      </left>
      <right style="thin">
        <color theme="6"/>
      </right>
      <top style="double">
        <color theme="6"/>
      </top>
      <bottom style="thin">
        <color theme="6"/>
      </bottom>
      <diagonal/>
    </border>
    <border>
      <left style="thin">
        <color theme="6"/>
      </left>
      <right/>
      <top style="thin">
        <color theme="6"/>
      </top>
      <bottom/>
      <diagonal/>
    </border>
    <border>
      <left style="thin">
        <color theme="6"/>
      </left>
      <right style="thin">
        <color theme="6"/>
      </right>
      <top style="thin">
        <color theme="6"/>
      </top>
      <bottom/>
      <diagonal/>
    </border>
    <border>
      <left style="thin">
        <color theme="6"/>
      </left>
      <right/>
      <top style="medium">
        <color theme="6"/>
      </top>
      <bottom/>
      <diagonal/>
    </border>
    <border>
      <left style="thin">
        <color theme="6"/>
      </left>
      <right style="thin">
        <color theme="6"/>
      </right>
      <top style="medium">
        <color theme="6"/>
      </top>
      <bottom/>
      <diagonal/>
    </border>
    <border>
      <left style="thin">
        <color theme="6"/>
      </left>
      <right/>
      <top style="double">
        <color theme="6"/>
      </top>
      <bottom style="thin">
        <color theme="6"/>
      </bottom>
      <diagonal/>
    </border>
  </borders>
  <cellStyleXfs count="7">
    <xf numFmtId="0" fontId="0" fillId="0" borderId="0"/>
    <xf numFmtId="43" fontId="4" fillId="0" borderId="0" applyFont="0" applyFill="0" applyBorder="0" applyAlignment="0" applyProtection="0"/>
    <xf numFmtId="9" fontId="4" fillId="0" borderId="0" applyFont="0" applyFill="0" applyBorder="0" applyAlignment="0" applyProtection="0"/>
    <xf numFmtId="0" fontId="2" fillId="0" borderId="0"/>
    <xf numFmtId="43" fontId="2" fillId="0" borderId="0" applyFont="0" applyFill="0" applyBorder="0" applyAlignment="0" applyProtection="0"/>
    <xf numFmtId="0" fontId="1" fillId="0" borderId="0"/>
    <xf numFmtId="43" fontId="1" fillId="0" borderId="0" applyFont="0" applyFill="0" applyBorder="0" applyAlignment="0" applyProtection="0"/>
  </cellStyleXfs>
  <cellXfs count="86">
    <xf numFmtId="0" fontId="0" fillId="0" borderId="0" xfId="0"/>
    <xf numFmtId="0" fontId="5" fillId="0" borderId="0" xfId="0" applyFont="1" applyAlignment="1">
      <alignment horizontal="center" wrapText="1"/>
    </xf>
    <xf numFmtId="0" fontId="6" fillId="0" borderId="0" xfId="0" applyFont="1"/>
    <xf numFmtId="0" fontId="5" fillId="0" borderId="0" xfId="0" applyFont="1"/>
    <xf numFmtId="0" fontId="3" fillId="0" borderId="0" xfId="0" applyFont="1"/>
    <xf numFmtId="1" fontId="6" fillId="0" borderId="0" xfId="0" applyNumberFormat="1" applyFont="1"/>
    <xf numFmtId="0" fontId="6" fillId="0" borderId="0" xfId="0" applyFont="1" applyAlignment="1">
      <alignment horizontal="center" wrapText="1"/>
    </xf>
    <xf numFmtId="0" fontId="6" fillId="0" borderId="0" xfId="0" applyFont="1" applyAlignment="1">
      <alignment horizontal="center" vertical="center" wrapText="1"/>
    </xf>
    <xf numFmtId="164" fontId="6" fillId="0" borderId="0" xfId="1" applyNumberFormat="1" applyFont="1"/>
    <xf numFmtId="164" fontId="5" fillId="0" borderId="0" xfId="1" applyNumberFormat="1" applyFont="1"/>
    <xf numFmtId="9" fontId="5" fillId="0" borderId="0" xfId="2" applyNumberFormat="1" applyFont="1"/>
    <xf numFmtId="0" fontId="6" fillId="0" borderId="0" xfId="0" applyFont="1" applyAlignment="1">
      <alignment horizontal="left"/>
    </xf>
    <xf numFmtId="0" fontId="6" fillId="0" borderId="0" xfId="0" applyFont="1" applyAlignment="1">
      <alignment horizontal="left" indent="1"/>
    </xf>
    <xf numFmtId="164" fontId="6" fillId="0" borderId="0" xfId="0" applyNumberFormat="1" applyFont="1"/>
    <xf numFmtId="0" fontId="6" fillId="0" borderId="0" xfId="0" pivotButton="1" applyFont="1" applyAlignment="1">
      <alignment horizontal="center" wrapText="1"/>
    </xf>
    <xf numFmtId="164" fontId="6" fillId="0" borderId="0" xfId="0" applyNumberFormat="1" applyFont="1" applyAlignment="1">
      <alignment horizontal="center" wrapText="1"/>
    </xf>
    <xf numFmtId="43" fontId="9" fillId="0" borderId="0" xfId="3" applyNumberFormat="1" applyFont="1"/>
    <xf numFmtId="43" fontId="9" fillId="0" borderId="0" xfId="4" applyFont="1"/>
    <xf numFmtId="0" fontId="9" fillId="0" borderId="0" xfId="3" applyFont="1" applyAlignment="1">
      <alignment horizontal="center" wrapText="1"/>
    </xf>
    <xf numFmtId="0" fontId="2" fillId="0" borderId="0" xfId="3" applyFont="1"/>
    <xf numFmtId="43" fontId="5" fillId="0" borderId="0" xfId="4" applyFont="1"/>
    <xf numFmtId="43" fontId="9" fillId="0" borderId="0" xfId="4" applyFont="1" applyAlignment="1">
      <alignment horizontal="center" wrapText="1"/>
    </xf>
    <xf numFmtId="0" fontId="9" fillId="0" borderId="0" xfId="3" applyFont="1" applyAlignment="1">
      <alignment wrapText="1"/>
    </xf>
    <xf numFmtId="49" fontId="2" fillId="0" borderId="0" xfId="3" applyNumberFormat="1" applyFont="1"/>
    <xf numFmtId="43" fontId="2" fillId="0" borderId="0" xfId="1" applyFont="1"/>
    <xf numFmtId="164" fontId="2" fillId="0" borderId="0" xfId="1" applyNumberFormat="1" applyFont="1"/>
    <xf numFmtId="0" fontId="2" fillId="0" borderId="0" xfId="3" applyFont="1" applyAlignment="1">
      <alignment wrapText="1"/>
    </xf>
    <xf numFmtId="0" fontId="9" fillId="0" borderId="0" xfId="3" applyFont="1"/>
    <xf numFmtId="43" fontId="9" fillId="0" borderId="0" xfId="1" applyFont="1"/>
    <xf numFmtId="10" fontId="2" fillId="0" borderId="0" xfId="2" applyNumberFormat="1" applyFont="1"/>
    <xf numFmtId="10" fontId="9" fillId="0" borderId="0" xfId="2" applyNumberFormat="1" applyFont="1"/>
    <xf numFmtId="0" fontId="9" fillId="3" borderId="2" xfId="3" applyNumberFormat="1" applyFont="1" applyFill="1" applyBorder="1" applyAlignment="1">
      <alignment horizontal="center" wrapText="1"/>
    </xf>
    <xf numFmtId="0" fontId="9" fillId="3" borderId="3" xfId="3" applyNumberFormat="1" applyFont="1" applyFill="1" applyBorder="1" applyAlignment="1">
      <alignment horizontal="center" wrapText="1"/>
    </xf>
    <xf numFmtId="0" fontId="2" fillId="3" borderId="0" xfId="3" applyFill="1"/>
    <xf numFmtId="0" fontId="2" fillId="4" borderId="4" xfId="3" applyNumberFormat="1" applyFont="1" applyFill="1" applyBorder="1" applyAlignment="1"/>
    <xf numFmtId="0" fontId="2" fillId="4" borderId="5" xfId="3" applyNumberFormat="1" applyFont="1" applyFill="1" applyBorder="1" applyAlignment="1"/>
    <xf numFmtId="0" fontId="2" fillId="3" borderId="2" xfId="3" applyNumberFormat="1" applyFont="1" applyFill="1" applyBorder="1" applyAlignment="1"/>
    <xf numFmtId="0" fontId="2" fillId="3" borderId="3" xfId="3" applyNumberFormat="1" applyFont="1" applyFill="1" applyBorder="1" applyAlignment="1"/>
    <xf numFmtId="0" fontId="2" fillId="4" borderId="2" xfId="3" applyNumberFormat="1" applyFont="1" applyFill="1" applyBorder="1" applyAlignment="1"/>
    <xf numFmtId="0" fontId="2" fillId="4" borderId="3" xfId="3" applyNumberFormat="1" applyFont="1" applyFill="1" applyBorder="1" applyAlignment="1"/>
    <xf numFmtId="0" fontId="9" fillId="3" borderId="6" xfId="0" applyNumberFormat="1" applyFont="1" applyFill="1" applyBorder="1" applyAlignment="1"/>
    <xf numFmtId="0" fontId="9" fillId="3" borderId="1" xfId="0" applyNumberFormat="1" applyFont="1" applyFill="1" applyBorder="1" applyAlignment="1"/>
    <xf numFmtId="43" fontId="9" fillId="3" borderId="2" xfId="1" applyFont="1" applyFill="1" applyBorder="1" applyAlignment="1">
      <alignment horizontal="center" wrapText="1"/>
    </xf>
    <xf numFmtId="43" fontId="2" fillId="4" borderId="4" xfId="1" applyFont="1" applyFill="1" applyBorder="1" applyAlignment="1"/>
    <xf numFmtId="43" fontId="2" fillId="3" borderId="2" xfId="1" applyFont="1" applyFill="1" applyBorder="1" applyAlignment="1"/>
    <xf numFmtId="43" fontId="2" fillId="4" borderId="2" xfId="1" applyFont="1" applyFill="1" applyBorder="1" applyAlignment="1"/>
    <xf numFmtId="43" fontId="9" fillId="3" borderId="6" xfId="1" applyFont="1" applyFill="1" applyBorder="1" applyAlignment="1"/>
    <xf numFmtId="43" fontId="8" fillId="3" borderId="0" xfId="1" applyFont="1" applyFill="1"/>
    <xf numFmtId="43" fontId="2" fillId="3" borderId="0" xfId="1" applyFont="1" applyFill="1"/>
    <xf numFmtId="43" fontId="6" fillId="0" borderId="0" xfId="1" applyFont="1"/>
    <xf numFmtId="5" fontId="6" fillId="0" borderId="0" xfId="0" applyNumberFormat="1" applyFont="1" applyAlignment="1">
      <alignment horizontal="right" wrapText="1"/>
    </xf>
    <xf numFmtId="5" fontId="6" fillId="0" borderId="0" xfId="0" applyNumberFormat="1" applyFont="1" applyAlignment="1">
      <alignment horizontal="right"/>
    </xf>
    <xf numFmtId="0" fontId="5" fillId="5" borderId="0" xfId="0" applyFont="1" applyFill="1"/>
    <xf numFmtId="0" fontId="1" fillId="0" borderId="0" xfId="5"/>
    <xf numFmtId="165" fontId="1" fillId="0" borderId="0" xfId="5" applyNumberFormat="1"/>
    <xf numFmtId="0" fontId="0" fillId="5" borderId="0" xfId="0" applyFill="1"/>
    <xf numFmtId="2" fontId="1" fillId="0" borderId="0" xfId="5" applyNumberFormat="1"/>
    <xf numFmtId="2" fontId="0" fillId="0" borderId="0" xfId="0" applyNumberFormat="1"/>
    <xf numFmtId="166" fontId="6" fillId="0" borderId="0" xfId="2" applyNumberFormat="1" applyFont="1" applyAlignment="1">
      <alignment horizontal="center" wrapText="1"/>
    </xf>
    <xf numFmtId="166" fontId="6" fillId="0" borderId="0" xfId="2" applyNumberFormat="1" applyFont="1"/>
    <xf numFmtId="166" fontId="0" fillId="0" borderId="0" xfId="2" applyNumberFormat="1" applyFont="1"/>
    <xf numFmtId="0" fontId="5" fillId="0" borderId="0" xfId="0" applyFont="1" applyFill="1"/>
    <xf numFmtId="0" fontId="5" fillId="0" borderId="0" xfId="0" quotePrefix="1" applyFont="1"/>
    <xf numFmtId="5" fontId="6" fillId="0" borderId="0" xfId="0" applyNumberFormat="1" applyFont="1"/>
    <xf numFmtId="5" fontId="6" fillId="0" borderId="0" xfId="1" applyNumberFormat="1" applyFont="1"/>
    <xf numFmtId="5" fontId="6" fillId="2" borderId="0" xfId="0" applyNumberFormat="1" applyFont="1" applyFill="1"/>
    <xf numFmtId="5" fontId="3" fillId="0" borderId="0" xfId="1" applyNumberFormat="1" applyFont="1"/>
    <xf numFmtId="5" fontId="3" fillId="0" borderId="0" xfId="0" applyNumberFormat="1" applyFont="1"/>
    <xf numFmtId="5" fontId="7" fillId="2" borderId="0" xfId="1" applyNumberFormat="1" applyFont="1" applyFill="1"/>
    <xf numFmtId="5" fontId="5" fillId="0" borderId="0" xfId="1" applyNumberFormat="1" applyFont="1"/>
    <xf numFmtId="5" fontId="6" fillId="0" borderId="0" xfId="0" applyNumberFormat="1" applyFont="1" applyAlignment="1">
      <alignment horizontal="center" vertical="center" wrapText="1"/>
    </xf>
    <xf numFmtId="0" fontId="5" fillId="0" borderId="0" xfId="0" applyFont="1" applyAlignment="1">
      <alignment horizontal="center" vertical="center" wrapText="1"/>
    </xf>
    <xf numFmtId="5" fontId="5" fillId="0" borderId="0" xfId="0" applyNumberFormat="1" applyFont="1" applyAlignment="1">
      <alignment horizontal="center" vertical="center" wrapText="1"/>
    </xf>
    <xf numFmtId="0" fontId="9" fillId="0" borderId="0" xfId="0" applyFont="1"/>
    <xf numFmtId="164" fontId="7" fillId="0" borderId="0" xfId="1" applyNumberFormat="1" applyFont="1"/>
    <xf numFmtId="5" fontId="7" fillId="0" borderId="0" xfId="1" applyNumberFormat="1" applyFont="1"/>
    <xf numFmtId="9" fontId="10" fillId="0" borderId="0" xfId="2" applyNumberFormat="1" applyFont="1"/>
    <xf numFmtId="0" fontId="7" fillId="0" borderId="0" xfId="0" applyFont="1"/>
    <xf numFmtId="0" fontId="13" fillId="0" borderId="0" xfId="0" applyFont="1" applyAlignment="1">
      <alignment vertical="center" wrapText="1"/>
    </xf>
    <xf numFmtId="0" fontId="14" fillId="0" borderId="0" xfId="0" applyFont="1" applyAlignment="1">
      <alignment wrapText="1"/>
    </xf>
    <xf numFmtId="0" fontId="12" fillId="0" borderId="0" xfId="0" applyFont="1" applyAlignment="1">
      <alignment vertical="center" wrapText="1"/>
    </xf>
    <xf numFmtId="0" fontId="11" fillId="0" borderId="0" xfId="0" applyFont="1" applyAlignment="1">
      <alignment vertical="center" wrapText="1"/>
    </xf>
    <xf numFmtId="0" fontId="15" fillId="0" borderId="0" xfId="0" applyFont="1" applyAlignment="1">
      <alignment horizontal="left" vertical="center" wrapText="1"/>
    </xf>
    <xf numFmtId="0" fontId="12" fillId="0" borderId="0" xfId="0" applyFont="1" applyAlignment="1">
      <alignment horizontal="left" vertical="center" wrapText="1"/>
    </xf>
    <xf numFmtId="0" fontId="11" fillId="0" borderId="0" xfId="0" applyFont="1" applyAlignment="1">
      <alignment horizontal="left" vertical="center" wrapText="1"/>
    </xf>
    <xf numFmtId="0" fontId="13" fillId="0" borderId="0" xfId="0" applyFont="1" applyFill="1" applyAlignment="1">
      <alignment vertical="center" wrapText="1"/>
    </xf>
  </cellXfs>
  <cellStyles count="7">
    <cellStyle name="Comma" xfId="1" builtinId="3"/>
    <cellStyle name="Comma 2" xfId="4" xr:uid="{666AC2D6-F462-408B-BC26-771550471317}"/>
    <cellStyle name="Comma 3" xfId="6" xr:uid="{22B9582E-447C-4C54-8790-8C05F7176597}"/>
    <cellStyle name="Normal" xfId="0" builtinId="0"/>
    <cellStyle name="Normal 2" xfId="3" xr:uid="{1400792D-CC5E-4ABF-9D6F-7E3FC4CCD18E}"/>
    <cellStyle name="Normal 3" xfId="5" xr:uid="{1D95D25E-BD19-4F62-A0CF-7BFF5F0603C6}"/>
    <cellStyle name="Percent" xfId="2" builtinId="5"/>
  </cellStyles>
  <dxfs count="32">
    <dxf>
      <alignment wrapText="1"/>
    </dxf>
    <dxf>
      <alignment wrapText="1"/>
    </dxf>
    <dxf>
      <alignment horizontal="center"/>
    </dxf>
    <dxf>
      <alignment horizontal="center"/>
    </dxf>
    <dxf>
      <alignment horizontal="right"/>
    </dxf>
    <dxf>
      <numFmt numFmtId="9" formatCode="&quot;$&quot;#,##0_);\(&quot;$&quot;#,##0\)"/>
    </dxf>
    <dxf>
      <numFmt numFmtId="9" formatCode="&quot;$&quot;#,##0_);\(&quot;$&quot;#,##0\)"/>
    </dxf>
    <dxf>
      <numFmt numFmtId="9" formatCode="&quot;$&quot;#,##0_);\(&quot;$&quot;#,##0\)"/>
    </dxf>
    <dxf>
      <alignment horizontal="center"/>
    </dxf>
    <dxf>
      <alignment wrapText="1"/>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9" formatCode="&quot;$&quot;#,##0_);\(&quot;$&quot;#,##0\)"/>
    </dxf>
    <dxf>
      <alignment horizontal="center"/>
    </dxf>
    <dxf>
      <alignment wrapText="1"/>
    </dxf>
    <dxf>
      <alignment horizontal="center"/>
    </dxf>
    <dxf>
      <alignment horizontal="center"/>
    </dxf>
    <dxf>
      <alignment wrapText="1"/>
    </dxf>
    <dxf>
      <alignment wrapText="1"/>
    </dxf>
    <dxf>
      <font>
        <name val="Calibri"/>
        <family val="2"/>
        <scheme val="minor"/>
      </font>
    </dxf>
    <dxf>
      <font>
        <name val="Calibri"/>
        <family val="2"/>
        <scheme val="minor"/>
      </font>
    </dxf>
    <dxf>
      <font>
        <name val="Calibri"/>
        <family val="2"/>
        <scheme val="minor"/>
      </font>
    </dxf>
    <dxf>
      <font>
        <name val="Calibri"/>
        <family val="2"/>
        <scheme val="minor"/>
      </font>
    </dxf>
    <dxf>
      <numFmt numFmtId="164" formatCode="_(* #,##0_);_(* \(#,##0\);_(* &quot;-&quot;??_);_(@_)"/>
    </dxf>
    <dxf>
      <numFmt numFmtId="164" formatCode="_(* #,##0_);_(* \(#,##0\);_(*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Rausch, Aaron" refreshedDate="44025.91632546296" createdVersion="6" refreshedVersion="6" minRefreshableVersion="3" recordCount="1727" xr:uid="{4E936EA8-9F79-44AD-8D2B-0BCDC3200C33}">
  <cacheSource type="worksheet">
    <worksheetSource ref="A2:P1729" sheet="Distribution Detail"/>
  </cacheSource>
  <cacheFields count="19">
    <cacheField name="IRN" numFmtId="0">
      <sharedItems containsMixedTypes="1" containsNumber="1" containsInteger="1" minValue="17643" maxValue="85662"/>
    </cacheField>
    <cacheField name="Local Education Agency Name" numFmtId="0">
      <sharedItems/>
    </cacheField>
    <cacheField name="County" numFmtId="0">
      <sharedItems/>
    </cacheField>
    <cacheField name="Org Type" numFmtId="0">
      <sharedItems count="9">
        <s v="Non-Public School"/>
        <s v="Traditional District"/>
        <s v="County Board of DD"/>
        <s v="Joint Vocational School District"/>
        <s v="Community School"/>
        <s v="STEM"/>
        <s v="Public District" u="1"/>
        <s v="Statewide Funding Pool" u="1"/>
        <s v="Chartered Non-Public" u="1"/>
      </sharedItems>
    </cacheField>
    <cacheField name="Count" numFmtId="0">
      <sharedItems containsSemiMixedTypes="0" containsString="0" containsNumber="1" containsInteger="1" minValue="1" maxValue="1"/>
    </cacheField>
    <cacheField name="Typology" numFmtId="0">
      <sharedItems containsMixedTypes="1" containsNumber="1" containsInteger="1" minValue="0" maxValue="8" count="24">
        <s v="Non-Public"/>
        <s v="1 - Rural - High Poverty"/>
        <s v="CBDD"/>
        <s v="2 - Rural - Average Poverty"/>
        <s v="JVSD"/>
        <s v="E-School"/>
        <s v="4 - Small Town - High Poverty"/>
        <s v="3 - Small Town - Low Poverty"/>
        <s v="Brick and Mortar"/>
        <s v="7 - Urban - High Poverty"/>
        <s v="5 - Suburban - Low Poverty"/>
        <s v="6 - Suburban - Very Low Poverty"/>
        <s v="STEM"/>
        <s v="8 - Urban 8"/>
        <s v="0 - Island/Other"/>
        <n v="0" u="1"/>
        <n v="5" u="1"/>
        <n v="2" u="1"/>
        <n v="6" u="1"/>
        <n v="7" u="1"/>
        <n v="1" u="1"/>
        <n v="3" u="1"/>
        <n v="8" u="1"/>
        <n v="4" u="1"/>
      </sharedItems>
    </cacheField>
    <cacheField name="Unweighted FY19 Enrollment" numFmtId="164">
      <sharedItems containsSemiMixedTypes="0" containsString="0" containsNumber="1" minValue="2" maxValue="48926.242498"/>
    </cacheField>
    <cacheField name="Base CRF Funding" numFmtId="5">
      <sharedItems containsSemiMixedTypes="0" containsString="0" containsNumber="1" minValue="59" maxValue="1443324.1536910001"/>
    </cacheField>
    <cacheField name="Weighted Enrollment" numFmtId="164">
      <sharedItems containsSemiMixedTypes="0" containsString="0" containsNumber="1" minValue="2" maxValue="71965.729877615493"/>
    </cacheField>
    <cacheField name="Weighted Enrollment as a % of Unweighted Enrollment" numFmtId="9">
      <sharedItems containsSemiMixedTypes="0" containsString="0" containsNumber="1" minValue="1" maxValue="5.5266224346363293"/>
    </cacheField>
    <cacheField name="Weighted CRF Funding" numFmtId="5">
      <sharedItems containsSemiMixedTypes="0" containsString="0" containsNumber="1" minValue="0" maxValue="1216837.1826857158"/>
    </cacheField>
    <cacheField name="CRF Funding" numFmtId="5">
      <sharedItems containsSemiMixedTypes="0" containsString="0" containsNumber="1" minValue="59" maxValue="2660161.3363767159"/>
    </cacheField>
    <cacheField name="Unequalized FY19 Transportation Funding" numFmtId="5">
      <sharedItems containsSemiMixedTypes="0" containsString="0" containsNumber="1" minValue="0" maxValue="57281581.494708814"/>
    </cacheField>
    <cacheField name="CRF Transportation Funding" numFmtId="5">
      <sharedItems containsSemiMixedTypes="0" containsString="0" containsNumber="1" minValue="0" maxValue="1148169.3002959334"/>
    </cacheField>
    <cacheField name="Total CRF Funding" numFmtId="5">
      <sharedItems containsSemiMixedTypes="0" containsString="0" containsNumber="1" minValue="59" maxValue="3808330.6366726495"/>
    </cacheField>
    <cacheField name="Per Pupil CRF Funding" numFmtId="5">
      <sharedItems containsSemiMixedTypes="0" containsString="0" containsNumber="1" minValue="5.8999999999999995" maxValue="268.57487174902377"/>
    </cacheField>
    <cacheField name="Per Pupil Funding" numFmtId="0" formula="'Total CRF Funding'/'Unweighted FY19 Enrollment'" databaseField="0"/>
    <cacheField name="Average Funding per District/School" numFmtId="0" formula="'Total CRF Funding'/IRN" databaseField="0"/>
    <cacheField name="Average Funding by LEA" numFmtId="0" formula="'Total CRF Funding'/Count"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727">
  <r>
    <s v="090746"/>
    <s v="Adams County Christian"/>
    <s v="Adams"/>
    <x v="0"/>
    <n v="1"/>
    <x v="0"/>
    <n v="121"/>
    <n v="3569.5"/>
    <n v="129.2748"/>
    <n v="1.0683867768595041"/>
    <n v="437.03595281362573"/>
    <n v="4006.535952813626"/>
    <n v="0"/>
    <n v="0"/>
    <n v="4006.535952813626"/>
    <n v="33.111867378625007"/>
  </r>
  <r>
    <s v="061903"/>
    <s v="Adams County Ohio Valley Local"/>
    <s v="Adams"/>
    <x v="1"/>
    <n v="1"/>
    <x v="1"/>
    <n v="3696.5399539999999"/>
    <n v="109047.92864299999"/>
    <n v="4615.4185718398203"/>
    <n v="1.2485780295288054"/>
    <n v="48530.839690106513"/>
    <n v="157578.76833310651"/>
    <n v="3689270.3383388552"/>
    <n v="73948.84764772674"/>
    <n v="231527.61598083324"/>
    <n v="62.633603007671766"/>
  </r>
  <r>
    <s v="000442"/>
    <s v="Manchester Local"/>
    <s v="Adams"/>
    <x v="1"/>
    <n v="1"/>
    <x v="1"/>
    <n v="833.150306"/>
    <n v="24577.934026999999"/>
    <n v="1176.9883599131899"/>
    <n v="1.4126963063411393"/>
    <n v="18159.906161542731"/>
    <n v="42737.84018854273"/>
    <n v="514958.58460027963"/>
    <n v="10321.985223409079"/>
    <n v="53059.82541195181"/>
    <n v="63.685777980080118"/>
  </r>
  <r>
    <n v="65821"/>
    <s v="Allen County Board of DD"/>
    <s v="Allen"/>
    <x v="2"/>
    <n v="1"/>
    <x v="2"/>
    <n v="32.82"/>
    <n v="968.19"/>
    <n v="135.86535599999999"/>
    <n v="4.1397122486288849"/>
    <n v="5442.3702497316272"/>
    <n v="6410.5602497316268"/>
    <n v="0"/>
    <n v="0"/>
    <n v="6410.5602497316268"/>
    <n v="195.32480955915986"/>
  </r>
  <r>
    <s v="045757"/>
    <s v="Allen East Local"/>
    <s v="Allen"/>
    <x v="1"/>
    <n v="1"/>
    <x v="3"/>
    <n v="1125.883941"/>
    <n v="33213.576259499998"/>
    <n v="1274.23194477623"/>
    <n v="1.1317613640038853"/>
    <n v="7835.0426811939851"/>
    <n v="41048.618940693981"/>
    <n v="702895.04539092246"/>
    <n v="14089.040340524147"/>
    <n v="55137.659281218126"/>
    <n v="48.97277354559774"/>
  </r>
  <r>
    <s v="050773"/>
    <s v="Apollo"/>
    <s v="Allen"/>
    <x v="3"/>
    <n v="1"/>
    <x v="4"/>
    <n v="855.63577599999996"/>
    <n v="25241.255391999999"/>
    <n v="1065.1550577698299"/>
    <n v="1.2448697070023285"/>
    <n v="11065.821402463402"/>
    <n v="36307.076794463399"/>
    <n v="0"/>
    <n v="0"/>
    <n v="36307.076794463399"/>
    <n v="42.432864324812201"/>
  </r>
  <r>
    <s v="000288"/>
    <s v="Auglaize County Educational Academy"/>
    <s v="Allen"/>
    <x v="4"/>
    <n v="1"/>
    <x v="5"/>
    <n v="83.133036000000004"/>
    <n v="490.48491240000004"/>
    <n v="101.024303429032"/>
    <n v="1.2152124869953262"/>
    <n v="0"/>
    <n v="490.48491240000004"/>
    <n v="0"/>
    <n v="0"/>
    <n v="490.48491240000004"/>
    <n v="5.9"/>
  </r>
  <r>
    <s v="045765"/>
    <s v="Bath Local"/>
    <s v="Allen"/>
    <x v="1"/>
    <n v="1"/>
    <x v="6"/>
    <n v="1702.174184"/>
    <n v="50214.138427999998"/>
    <n v="1957.30390556661"/>
    <n v="1.1498846146092239"/>
    <n v="13474.749958420558"/>
    <n v="63688.888386420556"/>
    <n v="1273034.4478398194"/>
    <n v="25517.086523944545"/>
    <n v="89205.974910365097"/>
    <n v="52.407077811940951"/>
  </r>
  <r>
    <s v="045211"/>
    <s v="Bluffton Exempted Village"/>
    <s v="Allen"/>
    <x v="1"/>
    <n v="1"/>
    <x v="7"/>
    <n v="1125.277458"/>
    <n v="33195.685011000001"/>
    <n v="1241.22548043902"/>
    <n v="1.1030394962724117"/>
    <n v="6123.8283056379305"/>
    <n v="39319.513316637931"/>
    <n v="493614.85006377113"/>
    <n v="9894.1649693410454"/>
    <n v="49213.678285978975"/>
    <n v="43.734705548486133"/>
  </r>
  <r>
    <s v="043885"/>
    <s v="Delphos City"/>
    <s v="Allen"/>
    <x v="1"/>
    <n v="1"/>
    <x v="7"/>
    <n v="898.88292799999999"/>
    <n v="26517.046375999998"/>
    <n v="1068.3192684466201"/>
    <n v="1.1884965607519249"/>
    <n v="8948.8292754317299"/>
    <n v="35465.875651431728"/>
    <n v="463651.67907376471"/>
    <n v="9293.5741306711861"/>
    <n v="44759.449782102914"/>
    <n v="49.794526503792845"/>
  </r>
  <r>
    <s v="045773"/>
    <s v="Elida Local"/>
    <s v="Allen"/>
    <x v="1"/>
    <n v="1"/>
    <x v="6"/>
    <n v="2252.7132539999998"/>
    <n v="66455.040992999988"/>
    <n v="2598.1379724879798"/>
    <n v="1.1533371892204352"/>
    <n v="18243.706309490597"/>
    <n v="84698.747302490578"/>
    <n v="1546979.4576568401"/>
    <n v="31008.12294496629"/>
    <n v="115706.87024745687"/>
    <n v="51.363337096722603"/>
  </r>
  <r>
    <s v="132399"/>
    <s v="Golden Bridge Academy"/>
    <s v="Allen"/>
    <x v="0"/>
    <n v="1"/>
    <x v="0"/>
    <n v="99"/>
    <n v="2920.5"/>
    <n v="108.03739999999999"/>
    <n v="1.0912868686868686"/>
    <n v="477.31289214940023"/>
    <n v="3397.8128921494003"/>
    <n v="0"/>
    <n v="0"/>
    <n v="3397.8128921494003"/>
    <n v="34.321342344943439"/>
  </r>
  <r>
    <s v="000613"/>
    <s v="Heir Force Community School"/>
    <s v="Allen"/>
    <x v="4"/>
    <n v="1"/>
    <x v="8"/>
    <n v="241.122773"/>
    <n v="7113.1218035000002"/>
    <n v="316.93668043415801"/>
    <n v="1.3144203531292251"/>
    <n v="4004.1334258243423"/>
    <n v="11117.255229324343"/>
    <n v="0"/>
    <n v="0"/>
    <n v="11117.255229324343"/>
    <n v="46.106201795067868"/>
  </r>
  <r>
    <s v="053165"/>
    <s v="Lima Central Catholic"/>
    <s v="Allen"/>
    <x v="0"/>
    <n v="1"/>
    <x v="0"/>
    <n v="254"/>
    <n v="7493"/>
    <n v="269.9984"/>
    <n v="1.0629858267716537"/>
    <n v="844.9601183706568"/>
    <n v="8337.9601183706563"/>
    <n v="0"/>
    <n v="0"/>
    <n v="8337.9601183706563"/>
    <n v="32.826614639254551"/>
  </r>
  <r>
    <s v="044222"/>
    <s v="Lima City"/>
    <s v="Allen"/>
    <x v="1"/>
    <n v="1"/>
    <x v="9"/>
    <n v="3631.5601240000001"/>
    <n v="107131.02365800001"/>
    <n v="4995.6573004391603"/>
    <n v="1.3756229085742544"/>
    <n v="72045.186498219278"/>
    <n v="179176.21015621928"/>
    <n v="764411.20102864644"/>
    <n v="15322.088722437024"/>
    <n v="194498.29887865629"/>
    <n v="53.557780192945053"/>
  </r>
  <r>
    <s v="045781"/>
    <s v="Perry Local"/>
    <s v="Allen"/>
    <x v="1"/>
    <n v="1"/>
    <x v="6"/>
    <n v="710.79081299999996"/>
    <n v="20968.3289835"/>
    <n v="959.37078920856595"/>
    <n v="1.3497231135548822"/>
    <n v="13128.823264936804"/>
    <n v="34097.152248436803"/>
    <n v="479729.7666779632"/>
    <n v="9615.8481690776589"/>
    <n v="43713.000417514464"/>
    <n v="61.499107216956205"/>
  </r>
  <r>
    <s v="045799"/>
    <s v="Shawnee Local"/>
    <s v="Allen"/>
    <x v="1"/>
    <n v="1"/>
    <x v="10"/>
    <n v="2325.4490049999999"/>
    <n v="68600.745647499993"/>
    <n v="2525.9788148572802"/>
    <n v="1.0862327272823944"/>
    <n v="10591.039846100412"/>
    <n v="79191.785493600401"/>
    <n v="1481459.7508952355"/>
    <n v="29694.826176527462"/>
    <n v="108886.61167012787"/>
    <n v="46.823908602600326"/>
  </r>
  <r>
    <s v="045807"/>
    <s v="Spencerville Local"/>
    <s v="Allen"/>
    <x v="1"/>
    <n v="1"/>
    <x v="3"/>
    <n v="930.02400499999999"/>
    <n v="27435.708147500001"/>
    <n v="1113.2202638666699"/>
    <n v="1.1969801401703282"/>
    <n v="9675.5633423994204"/>
    <n v="37111.271489899424"/>
    <n v="811423.39522342267"/>
    <n v="16264.415325604899"/>
    <n v="53375.686815504319"/>
    <n v="57.391730244107322"/>
  </r>
  <r>
    <s v="058875"/>
    <s v="St Charles"/>
    <s v="Allen"/>
    <x v="0"/>
    <n v="1"/>
    <x v="0"/>
    <n v="382"/>
    <n v="11269"/>
    <n v="411.1472"/>
    <n v="1.0763015706806283"/>
    <n v="1539.4177894147667"/>
    <n v="12808.417789414767"/>
    <n v="0"/>
    <n v="0"/>
    <n v="12808.417789414767"/>
    <n v="33.529889501085776"/>
  </r>
  <r>
    <s v="058941"/>
    <s v="St Gerard"/>
    <s v="Allen"/>
    <x v="0"/>
    <n v="1"/>
    <x v="0"/>
    <n v="174"/>
    <n v="5133"/>
    <n v="197.31060000000002"/>
    <n v="1.1339689655172416"/>
    <n v="1231.1560740630969"/>
    <n v="6364.1560740630966"/>
    <n v="0"/>
    <n v="0"/>
    <n v="6364.1560740630966"/>
    <n v="36.57560962105228"/>
  </r>
  <r>
    <s v="053645"/>
    <s v="St John Elementary and High School"/>
    <s v="Allen"/>
    <x v="0"/>
    <n v="1"/>
    <x v="0"/>
    <n v="603"/>
    <n v="17788.5"/>
    <n v="674.10419999999999"/>
    <n v="1.1179174129353233"/>
    <n v="3755.3888669273701"/>
    <n v="21543.888866927369"/>
    <n v="0"/>
    <n v="0"/>
    <n v="21543.888866927369"/>
    <n v="35.727842233710398"/>
  </r>
  <r>
    <s v="059444"/>
    <s v="St Rose"/>
    <s v="Allen"/>
    <x v="0"/>
    <n v="1"/>
    <x v="0"/>
    <n v="113"/>
    <n v="3333.5"/>
    <n v="128.07400000000001"/>
    <n v="1.1333982300884957"/>
    <n v="796.13766528648421"/>
    <n v="4129.6376652864838"/>
    <n v="0"/>
    <n v="0"/>
    <n v="4129.6376652864838"/>
    <n v="36.545466064482156"/>
  </r>
  <r>
    <s v="008071"/>
    <s v="Temple Christian School"/>
    <s v="Allen"/>
    <x v="0"/>
    <n v="1"/>
    <x v="0"/>
    <n v="233"/>
    <n v="6873.5"/>
    <n v="241.84880000000001"/>
    <n v="1.0379776824034335"/>
    <n v="467.35192865775809"/>
    <n v="7340.8519286577584"/>
    <n v="0"/>
    <n v="0"/>
    <n v="7340.8519286577584"/>
    <n v="31.505802268917417"/>
  </r>
  <r>
    <s v="012974"/>
    <s v="The Center for Autism and Dyslexia"/>
    <s v="Allen"/>
    <x v="0"/>
    <n v="1"/>
    <x v="0"/>
    <n v="78"/>
    <n v="2301"/>
    <n v="137.71719999999999"/>
    <n v="1.7656051282051282"/>
    <n v="3153.9811719149525"/>
    <n v="5454.9811719149529"/>
    <n v="0"/>
    <n v="0"/>
    <n v="5454.9811719149529"/>
    <n v="69.93565605019171"/>
  </r>
  <r>
    <s v="151175"/>
    <s v="West Central Learning Academy II"/>
    <s v="Allen"/>
    <x v="4"/>
    <n v="1"/>
    <x v="8"/>
    <n v="58.966608000000001"/>
    <n v="1739.514936"/>
    <n v="77.8182840833923"/>
    <n v="1.3197008734738871"/>
    <n v="995.65671910368758"/>
    <n v="2735.1716551036875"/>
    <n v="0"/>
    <n v="0"/>
    <n v="2735.1716551036875"/>
    <n v="46.385094002756396"/>
  </r>
  <r>
    <s v="068338"/>
    <s v="Ashland Christian"/>
    <s v="Ashland"/>
    <x v="0"/>
    <n v="1"/>
    <x v="0"/>
    <n v="132"/>
    <n v="3894"/>
    <n v="132"/>
    <n v="1"/>
    <n v="0"/>
    <n v="3894"/>
    <n v="0"/>
    <n v="0"/>
    <n v="3894"/>
    <n v="29.5"/>
  </r>
  <r>
    <s v="043505"/>
    <s v="Ashland City"/>
    <s v="Ashland"/>
    <x v="1"/>
    <n v="1"/>
    <x v="6"/>
    <n v="3176.103944"/>
    <n v="93695.066347999993"/>
    <n v="3665.8045131693598"/>
    <n v="1.1541827905520714"/>
    <n v="25863.677048424855"/>
    <n v="119558.74339642485"/>
    <n v="1392039.8010014847"/>
    <n v="27902.465724477293"/>
    <n v="147461.20912090215"/>
    <n v="46.428332233733137"/>
  </r>
  <r>
    <n v="69625"/>
    <s v="Ashland County Board of DD"/>
    <s v="Ashland"/>
    <x v="2"/>
    <n v="1"/>
    <x v="2"/>
    <n v="36.519999999999996"/>
    <n v="1077.3399999999999"/>
    <n v="159.86729199999999"/>
    <n v="4.3775271631982475"/>
    <n v="6514.6228653502822"/>
    <n v="7591.9628653502823"/>
    <n v="0"/>
    <n v="0"/>
    <n v="7591.9628653502823"/>
    <n v="207.88507298330458"/>
  </r>
  <r>
    <s v="009971"/>
    <s v="Ashland County Community Academy"/>
    <s v="Ashland"/>
    <x v="4"/>
    <n v="1"/>
    <x v="8"/>
    <n v="83.551473999999999"/>
    <n v="2464.7684829999998"/>
    <n v="107.84740461816099"/>
    <n v="1.2907899700029348"/>
    <n v="1283.1965953499462"/>
    <n v="3747.965078349946"/>
    <n v="0"/>
    <n v="0"/>
    <n v="3747.965078349946"/>
    <n v="44.858156282795754"/>
  </r>
  <r>
    <s v="062042"/>
    <s v="Ashland County-West Holmes"/>
    <s v="Ashland"/>
    <x v="3"/>
    <n v="1"/>
    <x v="4"/>
    <n v="425.664806"/>
    <n v="12557.111777"/>
    <n v="518.90241817712604"/>
    <n v="1.2190399837216659"/>
    <n v="4924.3714260039633"/>
    <n v="17481.483203003962"/>
    <n v="0"/>
    <n v="0"/>
    <n v="17481.483203003962"/>
    <n v="41.068660026838025"/>
  </r>
  <r>
    <s v="045823"/>
    <s v="Hillsdale Local"/>
    <s v="Ashland"/>
    <x v="1"/>
    <n v="1"/>
    <x v="3"/>
    <n v="770.89408800000001"/>
    <n v="22741.375596000002"/>
    <n v="874.13927619208903"/>
    <n v="1.1339291477250102"/>
    <n v="5452.9244446937355"/>
    <n v="28194.300040693735"/>
    <n v="818103.37322681013"/>
    <n v="16398.310819933213"/>
    <n v="44592.610860626948"/>
    <n v="57.845314362596262"/>
  </r>
  <r>
    <s v="045468"/>
    <s v="Loudonville-Perrysville Exempted Village"/>
    <s v="Ashland"/>
    <x v="1"/>
    <n v="1"/>
    <x v="1"/>
    <n v="1008.2891080000001"/>
    <n v="29744.528686000001"/>
    <n v="1312.74653649628"/>
    <n v="1.3019544950755135"/>
    <n v="16080.007052020355"/>
    <n v="45824.535738020357"/>
    <n v="709835.84957942925"/>
    <n v="14228.163913593529"/>
    <n v="60052.69965161389"/>
    <n v="59.559008596980583"/>
  </r>
  <r>
    <s v="045831"/>
    <s v="Mapleton Local"/>
    <s v="Ashland"/>
    <x v="1"/>
    <n v="1"/>
    <x v="3"/>
    <n v="887.28880900000001"/>
    <n v="26175.019865500002"/>
    <n v="1005.8393268178399"/>
    <n v="1.1336098422693393"/>
    <n v="6261.2798510016428"/>
    <n v="32436.299716501646"/>
    <n v="748552.18727234332"/>
    <n v="15004.205866328379"/>
    <n v="47440.505582830025"/>
    <n v="53.466813850945371"/>
  </r>
  <r>
    <s v="057125"/>
    <s v="St Edward"/>
    <s v="Ashland"/>
    <x v="0"/>
    <n v="1"/>
    <x v="0"/>
    <n v="111"/>
    <n v="3274.5"/>
    <n v="114.4748"/>
    <n v="1.0313045045045046"/>
    <n v="183.52256596374386"/>
    <n v="3458.022565963744"/>
    <n v="0"/>
    <n v="0"/>
    <n v="3458.022565963744"/>
    <n v="31.15335645012382"/>
  </r>
  <r>
    <s v="043513"/>
    <s v="Ashtabula Area City"/>
    <s v="Ashtabula"/>
    <x v="1"/>
    <n v="1"/>
    <x v="6"/>
    <n v="3408.3433610000002"/>
    <n v="100546.1291495"/>
    <n v="5053.7685684806202"/>
    <n v="1.4827639217070712"/>
    <n v="86903.607740954525"/>
    <n v="187449.73689045454"/>
    <n v="2402277.8730601943"/>
    <n v="48151.982411356919"/>
    <n v="235601.71930181148"/>
    <n v="69.124995444322394"/>
  </r>
  <r>
    <s v="050815"/>
    <s v="Ashtabula County Technical and Career Center"/>
    <s v="Ashtabula"/>
    <x v="3"/>
    <n v="1"/>
    <x v="4"/>
    <n v="643.39578200000005"/>
    <n v="18980.175569000003"/>
    <n v="877.05374808285296"/>
    <n v="1.3631636585439302"/>
    <n v="12340.712988774769"/>
    <n v="31320.888557774771"/>
    <n v="0"/>
    <n v="0"/>
    <n v="31320.888557774771"/>
    <n v="48.680593553805373"/>
  </r>
  <r>
    <s v="045856"/>
    <s v="Buckeye Local"/>
    <s v="Ashtabula"/>
    <x v="1"/>
    <n v="1"/>
    <x v="6"/>
    <n v="1697.374523"/>
    <n v="50072.548428499998"/>
    <n v="2062.5159422616898"/>
    <n v="1.21512130311484"/>
    <n v="19285.049557542443"/>
    <n v="69357.597986042441"/>
    <n v="1265079.7848186672"/>
    <n v="25357.640858570765"/>
    <n v="94715.23884461321"/>
    <n v="55.801025384315381"/>
  </r>
  <r>
    <s v="043810"/>
    <s v="Conneaut Area City"/>
    <s v="Ashtabula"/>
    <x v="1"/>
    <n v="1"/>
    <x v="6"/>
    <n v="1548.5007459999999"/>
    <n v="45680.772007"/>
    <n v="2049.3464183864298"/>
    <n v="1.3234390901523208"/>
    <n v="26452.308894956303"/>
    <n v="72133.080901956302"/>
    <n v="1195496.8538290369"/>
    <n v="23962.899597904216"/>
    <n v="96095.98049986051"/>
    <n v="62.057432486287297"/>
  </r>
  <r>
    <s v="044057"/>
    <s v="Geneva Area City"/>
    <s v="Ashtabula"/>
    <x v="1"/>
    <n v="1"/>
    <x v="6"/>
    <n v="2214.1768569999999"/>
    <n v="65318.217281500001"/>
    <n v="2787.6795195343502"/>
    <n v="1.2590139359108794"/>
    <n v="30289.708822189183"/>
    <n v="95607.926103689184"/>
    <n v="954945.28426373331"/>
    <n v="19141.211367484186"/>
    <n v="114749.13747117337"/>
    <n v="51.824738890391792"/>
  </r>
  <r>
    <s v="062463"/>
    <s v="Grand River Academy"/>
    <s v="Ashtabula"/>
    <x v="0"/>
    <n v="1"/>
    <x v="0"/>
    <n v="19"/>
    <n v="560.5"/>
    <n v="19"/>
    <n v="1"/>
    <n v="0"/>
    <n v="560.5"/>
    <n v="0"/>
    <n v="0"/>
    <n v="560.5"/>
    <n v="29.5"/>
  </r>
  <r>
    <s v="045864"/>
    <s v="Grand Valley Local"/>
    <s v="Ashtabula"/>
    <x v="1"/>
    <n v="1"/>
    <x v="1"/>
    <n v="1066.0821539999999"/>
    <n v="31449.423542999997"/>
    <n v="1311.3113440219299"/>
    <n v="1.2300284167611439"/>
    <n v="12951.850524356823"/>
    <n v="44401.274067356819"/>
    <n v="1412383.255014387"/>
    <n v="28310.236053963636"/>
    <n v="72711.510121320462"/>
    <n v="68.204415436936827"/>
  </r>
  <r>
    <s v="045872"/>
    <s v="Jefferson Area Local"/>
    <s v="Ashtabula"/>
    <x v="1"/>
    <n v="1"/>
    <x v="7"/>
    <n v="1652.178557"/>
    <n v="48739.267431499997"/>
    <n v="2042.3236527306999"/>
    <n v="1.2361397889336607"/>
    <n v="20605.625954491912"/>
    <n v="69344.893385991905"/>
    <n v="1566525.9427444036"/>
    <n v="31399.91858888205"/>
    <n v="100744.81197487396"/>
    <n v="60.976951642445243"/>
  </r>
  <r>
    <s v="045880"/>
    <s v="Pymatuning Valley Local"/>
    <s v="Ashtabula"/>
    <x v="1"/>
    <n v="1"/>
    <x v="1"/>
    <n v="1129.543285"/>
    <n v="33321.526907499996"/>
    <n v="1380.16072241303"/>
    <n v="1.2218750186390865"/>
    <n v="13236.432367128247"/>
    <n v="46557.959274628243"/>
    <n v="2016696.0433741675"/>
    <n v="40423.263894073571"/>
    <n v="86981.223168701807"/>
    <n v="77.00565735176923"/>
  </r>
  <r>
    <s v="053637"/>
    <s v="Saint John School"/>
    <s v="Ashtabula"/>
    <x v="0"/>
    <n v="1"/>
    <x v="0"/>
    <n v="422"/>
    <n v="12449"/>
    <n v="483.84400000000005"/>
    <n v="1.1465497630331756"/>
    <n v="3266.3087284050239"/>
    <n v="15715.308728405023"/>
    <n v="0"/>
    <n v="0"/>
    <n v="15715.308728405023"/>
    <n v="37.240068076789157"/>
  </r>
  <r>
    <s v="045906"/>
    <s v="Alexander Local"/>
    <s v="Athens"/>
    <x v="1"/>
    <n v="1"/>
    <x v="3"/>
    <n v="1478.941562"/>
    <n v="43628.776079000003"/>
    <n v="1803.6580143738199"/>
    <n v="1.2195600290891142"/>
    <n v="17149.993251492815"/>
    <n v="60778.769330492818"/>
    <n v="1743459.102681967"/>
    <n v="34946.420224201356"/>
    <n v="95725.189554694167"/>
    <n v="64.725471252050838"/>
  </r>
  <r>
    <s v="043521"/>
    <s v="Athens City"/>
    <s v="Athens"/>
    <x v="1"/>
    <n v="1"/>
    <x v="10"/>
    <n v="2565.5351000000001"/>
    <n v="75683.285449999996"/>
    <n v="3258.5108769390999"/>
    <n v="1.2701096457183922"/>
    <n v="36599.715878491581"/>
    <n v="112283.00132849158"/>
    <n v="1748653.1735920876"/>
    <n v="35050.531748480964"/>
    <n v="147333.53307697253"/>
    <n v="57.427993511752199"/>
  </r>
  <r>
    <n v="65839"/>
    <s v="Athens County Board of DD"/>
    <s v="Athens"/>
    <x v="2"/>
    <n v="1"/>
    <x v="2"/>
    <n v="34.22"/>
    <n v="1009.49"/>
    <n v="163.53718400000002"/>
    <n v="4.7789942723553489"/>
    <n v="6829.9244361936198"/>
    <n v="7839.4144361936196"/>
    <n v="0"/>
    <n v="0"/>
    <n v="7839.4144361936196"/>
    <n v="229.08867434814786"/>
  </r>
  <r>
    <s v="045914"/>
    <s v="Federal Hocking Local"/>
    <s v="Athens"/>
    <x v="1"/>
    <n v="1"/>
    <x v="1"/>
    <n v="1005.110549"/>
    <n v="29650.761195499999"/>
    <n v="1435.4434895222901"/>
    <n v="1.4281448851078471"/>
    <n v="22728.15858851554"/>
    <n v="52378.919784015539"/>
    <n v="2821402.0687283375"/>
    <n v="56553.034231510297"/>
    <n v="108931.95401552584"/>
    <n v="108.37808251431042"/>
  </r>
  <r>
    <s v="017169"/>
    <s v="Haugland Learning Center - Athens"/>
    <s v="Athens"/>
    <x v="0"/>
    <n v="1"/>
    <x v="0"/>
    <n v="32"/>
    <n v="944"/>
    <n v="32"/>
    <n v="1"/>
    <n v="0"/>
    <n v="944"/>
    <n v="0"/>
    <n v="0"/>
    <n v="944"/>
    <n v="29.5"/>
  </r>
  <r>
    <s v="044446"/>
    <s v="Nelsonville-York City"/>
    <s v="Athens"/>
    <x v="1"/>
    <n v="1"/>
    <x v="1"/>
    <n v="1197.158396"/>
    <n v="35316.172682000004"/>
    <n v="1713.6920814891901"/>
    <n v="1.4314664519039886"/>
    <n v="27280.875839670065"/>
    <n v="62597.048521670069"/>
    <n v="897461.69210396556"/>
    <n v="17988.99290447485"/>
    <n v="80586.041426144919"/>
    <n v="67.314435329028015"/>
  </r>
  <r>
    <s v="051607"/>
    <s v="Tri-County Career Center"/>
    <s v="Athens"/>
    <x v="3"/>
    <n v="1"/>
    <x v="4"/>
    <n v="459.47018800000001"/>
    <n v="13554.370546"/>
    <n v="630.07051634191896"/>
    <n v="1.371297927041828"/>
    <n v="9010.3056324295394"/>
    <n v="22564.676178429538"/>
    <n v="0"/>
    <n v="0"/>
    <n v="22564.676178429538"/>
    <n v="49.11020729473212"/>
  </r>
  <r>
    <s v="045922"/>
    <s v="Trimble Local"/>
    <s v="Athens"/>
    <x v="1"/>
    <n v="1"/>
    <x v="1"/>
    <n v="780.10659199999998"/>
    <n v="23013.144464000001"/>
    <n v="1117.4898371977099"/>
    <n v="1.4324835204029527"/>
    <n v="17818.993574265754"/>
    <n v="40832.138038265752"/>
    <n v="612933.74981149775"/>
    <n v="12285.828992236129"/>
    <n v="53117.967030501881"/>
    <n v="68.090652707241688"/>
  </r>
  <r>
    <s v="054387"/>
    <s v="Holy Rosary"/>
    <s v="Auglaize"/>
    <x v="0"/>
    <n v="1"/>
    <x v="0"/>
    <n v="155"/>
    <n v="4572.5"/>
    <n v="167.69839999999999"/>
    <n v="1.0819251612903225"/>
    <n v="670.66966491136236"/>
    <n v="5243.1696649113619"/>
    <n v="0"/>
    <n v="0"/>
    <n v="5243.1696649113619"/>
    <n v="33.82690106394427"/>
  </r>
  <r>
    <s v="045948"/>
    <s v="Minster Local"/>
    <s v="Auglaize"/>
    <x v="1"/>
    <n v="1"/>
    <x v="7"/>
    <n v="832.66915700000004"/>
    <n v="24563.740131500002"/>
    <n v="925.51189397165399"/>
    <n v="1.1115001512799567"/>
    <n v="4903.5159779368223"/>
    <n v="29467.256109436825"/>
    <n v="281183.06087664177"/>
    <n v="5636.1181000497409"/>
    <n v="35103.374209486567"/>
    <n v="42.157649186814503"/>
  </r>
  <r>
    <s v="045955"/>
    <s v="New Bremen Local"/>
    <s v="Auglaize"/>
    <x v="1"/>
    <n v="1"/>
    <x v="7"/>
    <n v="739.03643"/>
    <n v="21801.574685"/>
    <n v="832.71337478688997"/>
    <n v="1.1267555170276111"/>
    <n v="4947.5749047237241"/>
    <n v="26749.149589723726"/>
    <n v="265824.97365280817"/>
    <n v="5328.2759664783807"/>
    <n v="32077.425556202106"/>
    <n v="43.404390168157349"/>
  </r>
  <r>
    <s v="045963"/>
    <s v="New Knoxville Local"/>
    <s v="Auglaize"/>
    <x v="1"/>
    <n v="1"/>
    <x v="3"/>
    <n v="384.81145700000002"/>
    <n v="11351.937981500001"/>
    <n v="426.84191559066301"/>
    <n v="1.1092235114784095"/>
    <n v="2219.850814202644"/>
    <n v="13571.788795702645"/>
    <n v="165228.97146332459"/>
    <n v="3311.8993505999138"/>
    <n v="16883.68814630256"/>
    <n v="43.875222109882657"/>
  </r>
  <r>
    <s v="044727"/>
    <s v="St Marys City"/>
    <s v="Auglaize"/>
    <x v="1"/>
    <n v="1"/>
    <x v="6"/>
    <n v="2005.0027950000001"/>
    <n v="59147.582452500006"/>
    <n v="2456.0698176010101"/>
    <n v="1.2249707699789067"/>
    <n v="23823.235124140479"/>
    <n v="82970.817576640489"/>
    <n v="1530793.577965959"/>
    <n v="30683.688289455429"/>
    <n v="113654.50586609592"/>
    <n v="56.68546006495513"/>
  </r>
  <r>
    <s v="044982"/>
    <s v="Wapakoneta City"/>
    <s v="Auglaize"/>
    <x v="1"/>
    <n v="1"/>
    <x v="1"/>
    <n v="3037.4762909999999"/>
    <n v="89605.550584500001"/>
    <n v="3628.3353610079098"/>
    <n v="1.1945230228655996"/>
    <n v="31206.392497640991"/>
    <n v="120811.94308214099"/>
    <n v="1851799.660080276"/>
    <n v="37118.0310410776"/>
    <n v="157929.97412321859"/>
    <n v="51.993812952931656"/>
  </r>
  <r>
    <s v="045971"/>
    <s v="Waynesfield-Goshen Local"/>
    <s v="Auglaize"/>
    <x v="1"/>
    <n v="1"/>
    <x v="3"/>
    <n v="488.68399499999998"/>
    <n v="14416.177852499999"/>
    <n v="569.61201442816798"/>
    <n v="1.1656039900143813"/>
    <n v="4274.2367283933163"/>
    <n v="18690.414580893317"/>
    <n v="408760.26252444572"/>
    <n v="8193.3140176101333"/>
    <n v="26883.72859850345"/>
    <n v="55.012500662116942"/>
  </r>
  <r>
    <s v="045203"/>
    <s v="Barnesville Exempted Village"/>
    <s v="Belmont"/>
    <x v="1"/>
    <n v="1"/>
    <x v="1"/>
    <n v="1371.8917819999999"/>
    <n v="40470.807568999997"/>
    <n v="1545.84510602451"/>
    <n v="1.1267981383858965"/>
    <n v="9187.3950681767674"/>
    <n v="49658.202637176764"/>
    <n v="802060.61961646029"/>
    <n v="16076.745026759067"/>
    <n v="65734.947663935833"/>
    <n v="47.915548825654994"/>
  </r>
  <r>
    <s v="043570"/>
    <s v="Bellaire Local"/>
    <s v="Belmont"/>
    <x v="1"/>
    <n v="1"/>
    <x v="6"/>
    <n v="1180.9728950000001"/>
    <n v="34838.700402500006"/>
    <n v="1572.54030935223"/>
    <n v="1.3315634219972761"/>
    <n v="20680.74612343435"/>
    <n v="55519.446525934356"/>
    <n v="1287022.8126672134"/>
    <n v="25797.473528581228"/>
    <n v="81316.920054515591"/>
    <n v="68.855873321729021"/>
  </r>
  <r>
    <n v="65854"/>
    <s v="Belmont County Board of DD"/>
    <s v="Belmont"/>
    <x v="2"/>
    <n v="1"/>
    <x v="2"/>
    <n v="6.47"/>
    <n v="190.86499999999998"/>
    <n v="27.188233999999998"/>
    <n v="4.2021999999999995"/>
    <n v="1094.2395147684122"/>
    <n v="1285.1045147684122"/>
    <n v="0"/>
    <n v="0"/>
    <n v="1285.1045147684122"/>
    <n v="198.62511820222755"/>
  </r>
  <r>
    <s v="050856"/>
    <s v="Belmont-Harrison"/>
    <s v="Belmont"/>
    <x v="3"/>
    <n v="1"/>
    <x v="4"/>
    <n v="492.86112500000002"/>
    <n v="14539.4031875"/>
    <n v="672.86564850513105"/>
    <n v="1.3652236185297248"/>
    <n v="9506.9909171010331"/>
    <n v="24046.394104601033"/>
    <n v="0"/>
    <n v="0"/>
    <n v="24046.394104601033"/>
    <n v="48.7893909356333"/>
  </r>
  <r>
    <s v="045237"/>
    <s v="Bridgeport Exempted Village"/>
    <s v="Belmont"/>
    <x v="1"/>
    <n v="1"/>
    <x v="6"/>
    <n v="772.09949099999994"/>
    <n v="22776.9349845"/>
    <n v="942.85070562667102"/>
    <n v="1.2211518290285612"/>
    <n v="9018.2747351538528"/>
    <n v="31795.209719653853"/>
    <n v="427350.36362176179"/>
    <n v="8565.9396123016431"/>
    <n v="40361.149331955494"/>
    <n v="52.274544669989297"/>
  </r>
  <r>
    <s v="112110"/>
    <s v="East Richland Christian Schools"/>
    <s v="Belmont"/>
    <x v="0"/>
    <n v="1"/>
    <x v="0"/>
    <n v="148"/>
    <n v="4366"/>
    <n v="148"/>
    <n v="1"/>
    <n v="0"/>
    <n v="4366"/>
    <n v="0"/>
    <n v="0"/>
    <n v="4366"/>
    <n v="29.5"/>
  </r>
  <r>
    <s v="110692"/>
    <s v="Martins Ferry Christian"/>
    <s v="Belmont"/>
    <x v="0"/>
    <n v="1"/>
    <x v="0"/>
    <n v="61"/>
    <n v="1799.5"/>
    <n v="61"/>
    <n v="1"/>
    <n v="0"/>
    <n v="1799.5"/>
    <n v="0"/>
    <n v="0"/>
    <n v="1799.5"/>
    <n v="29.5"/>
  </r>
  <r>
    <s v="044347"/>
    <s v="Martins Ferry City"/>
    <s v="Belmont"/>
    <x v="1"/>
    <n v="1"/>
    <x v="6"/>
    <n v="1466.0552359999999"/>
    <n v="43248.629461999997"/>
    <n v="1874.17354788998"/>
    <n v="1.2783785370894307"/>
    <n v="21554.886558892773"/>
    <n v="64803.51602089277"/>
    <n v="1222617.3517292624"/>
    <n v="24506.511039579502"/>
    <n v="89310.027060472275"/>
    <n v="60.918596289827839"/>
  </r>
  <r>
    <s v="052985"/>
    <s v="Olney Friends"/>
    <s v="Belmont"/>
    <x v="0"/>
    <n v="1"/>
    <x v="0"/>
    <n v="9"/>
    <n v="265.5"/>
    <n v="9"/>
    <n v="1"/>
    <n v="0"/>
    <n v="265.5"/>
    <n v="0"/>
    <n v="0"/>
    <n v="265.5"/>
    <n v="29.5"/>
  </r>
  <r>
    <s v="046003"/>
    <s v="Shadyside Local"/>
    <s v="Belmont"/>
    <x v="1"/>
    <n v="1"/>
    <x v="7"/>
    <n v="798.099108"/>
    <n v="23543.923685999998"/>
    <n v="934.66446897578305"/>
    <n v="1.1711132860654483"/>
    <n v="7212.7389973640556"/>
    <n v="30756.662683364055"/>
    <n v="411737.3392836143"/>
    <n v="8252.9874423010642"/>
    <n v="39009.650125665117"/>
    <n v="48.87820288813694"/>
  </r>
  <r>
    <s v="017838"/>
    <s v="St  John Central Academy"/>
    <s v="Belmont"/>
    <x v="0"/>
    <n v="1"/>
    <x v="0"/>
    <n v="91"/>
    <n v="2684.5"/>
    <n v="91"/>
    <n v="1"/>
    <n v="0"/>
    <n v="2684.5"/>
    <n v="0"/>
    <n v="0"/>
    <n v="2684.5"/>
    <n v="29.5"/>
  </r>
  <r>
    <s v="045997"/>
    <s v="St Clairsville-Richland City"/>
    <s v="Belmont"/>
    <x v="1"/>
    <n v="1"/>
    <x v="7"/>
    <n v="1667.648995"/>
    <n v="49195.645352500003"/>
    <n v="1994.8799269875601"/>
    <n v="1.1962229060004081"/>
    <n v="17282.796218793697"/>
    <n v="66478.441571293704"/>
    <n v="752517.66050726641"/>
    <n v="15083.691008160651"/>
    <n v="81562.132579454352"/>
    <n v="48.908453052169023"/>
  </r>
  <r>
    <s v="058404"/>
    <s v="St Mary"/>
    <s v="Belmont"/>
    <x v="0"/>
    <n v="1"/>
    <x v="0"/>
    <n v="124"/>
    <n v="3658"/>
    <n v="128.68700000000001"/>
    <n v="1.0377983870967742"/>
    <n v="247.54525920112496"/>
    <n v="3905.5452592011252"/>
    <n v="0"/>
    <n v="0"/>
    <n v="3905.5452592011252"/>
    <n v="31.496332735492945"/>
  </r>
  <r>
    <s v="058396"/>
    <s v="St Mary Central"/>
    <s v="Belmont"/>
    <x v="0"/>
    <n v="1"/>
    <x v="0"/>
    <n v="89"/>
    <n v="2625.5"/>
    <n v="98.136600000000001"/>
    <n v="1.1026584269662922"/>
    <n v="482.5521688109651"/>
    <n v="3108.0521688109652"/>
    <n v="0"/>
    <n v="0"/>
    <n v="3108.0521688109652"/>
    <n v="34.921934481022078"/>
  </r>
  <r>
    <s v="046011"/>
    <s v="Union Local"/>
    <s v="Belmont"/>
    <x v="1"/>
    <n v="1"/>
    <x v="1"/>
    <n v="1450.30206"/>
    <n v="42783.910770000002"/>
    <n v="1703.8373024560501"/>
    <n v="1.1748154742716495"/>
    <n v="13390.537083508181"/>
    <n v="56174.447853508187"/>
    <n v="1687615.8307060183"/>
    <n v="33827.080833811386"/>
    <n v="90001.528687319573"/>
    <n v="62.057092222098596"/>
  </r>
  <r>
    <s v="046037"/>
    <s v="Eastern Local"/>
    <s v="Brown"/>
    <x v="1"/>
    <n v="1"/>
    <x v="3"/>
    <n v="1223.4051469999999"/>
    <n v="36090.451836499997"/>
    <n v="1435.6061746779501"/>
    <n v="1.1734511483773822"/>
    <n v="11207.458587429728"/>
    <n v="47297.910423929723"/>
    <n v="1347117.3018369132"/>
    <n v="27002.025598917993"/>
    <n v="74299.936022847716"/>
    <n v="60.732077353968918"/>
  </r>
  <r>
    <s v="046045"/>
    <s v="Fayetteville-Perry Local"/>
    <s v="Brown"/>
    <x v="1"/>
    <n v="1"/>
    <x v="3"/>
    <n v="786.58131000000003"/>
    <n v="23204.148645000001"/>
    <n v="949.05574427374495"/>
    <n v="1.2065577101924083"/>
    <n v="8581.1341894282559"/>
    <n v="31785.282834428257"/>
    <n v="492894.4322975449"/>
    <n v="9879.7246982978104"/>
    <n v="41665.007532726071"/>
    <n v="52.969740067592085"/>
  </r>
  <r>
    <s v="045377"/>
    <s v="Georgetown Exempted Village"/>
    <s v="Brown"/>
    <x v="1"/>
    <n v="1"/>
    <x v="1"/>
    <n v="1050.709245"/>
    <n v="30995.922727500001"/>
    <n v="1268.5668564457901"/>
    <n v="1.207343384939751"/>
    <n v="11506.212693468306"/>
    <n v="42502.135420968305"/>
    <n v="556778.05740968348"/>
    <n v="11160.227352578529"/>
    <n v="53662.362773546833"/>
    <n v="51.072514141195008"/>
  </r>
  <r>
    <s v="046078"/>
    <s v="Ripley-Union-Lewis-Huntington Local"/>
    <s v="Brown"/>
    <x v="1"/>
    <n v="1"/>
    <x v="1"/>
    <n v="761.33833900000002"/>
    <n v="22459.4810005"/>
    <n v="998.52678984198496"/>
    <n v="1.3115414510105012"/>
    <n v="12527.176561380906"/>
    <n v="34986.657561880907"/>
    <n v="762257.3885871931"/>
    <n v="15278.917056094317"/>
    <n v="50265.574617975224"/>
    <n v="66.02264990884062"/>
  </r>
  <r>
    <s v="050799"/>
    <s v="Southern Hills"/>
    <s v="Brown"/>
    <x v="3"/>
    <n v="1"/>
    <x v="4"/>
    <n v="496.564706"/>
    <n v="14648.658826999999"/>
    <n v="598.55468539564799"/>
    <n v="1.2053911165318463"/>
    <n v="5386.6302294459174"/>
    <n v="20035.289056445916"/>
    <n v="0"/>
    <n v="0"/>
    <n v="20035.289056445916"/>
    <n v="40.34779116268065"/>
  </r>
  <r>
    <s v="055400"/>
    <s v="St Michael Consolidated"/>
    <s v="Brown"/>
    <x v="0"/>
    <n v="1"/>
    <x v="0"/>
    <n v="94"/>
    <n v="2773"/>
    <n v="107.7236"/>
    <n v="1.1459957446808511"/>
    <n v="724.81589911938374"/>
    <n v="3497.8158991193836"/>
    <n v="0"/>
    <n v="0"/>
    <n v="3497.8158991193836"/>
    <n v="37.210807437440252"/>
  </r>
  <r>
    <s v="046060"/>
    <s v="Western Brown Local"/>
    <s v="Brown"/>
    <x v="1"/>
    <n v="1"/>
    <x v="1"/>
    <n v="2889.0651640000001"/>
    <n v="85227.422338000004"/>
    <n v="3497.3771999618898"/>
    <n v="1.2105567030961888"/>
    <n v="32128.175937134554"/>
    <n v="117355.59827513456"/>
    <n v="2732561.264060813"/>
    <n v="54772.282341092236"/>
    <n v="172127.88061622679"/>
    <n v="59.579092490219367"/>
  </r>
  <r>
    <s v="050880"/>
    <s v="Butler Technology &amp; Career Development Schools"/>
    <s v="Butler"/>
    <x v="3"/>
    <n v="1"/>
    <x v="4"/>
    <n v="3517.3841360000001"/>
    <n v="103762.832012"/>
    <n v="4200.75733549098"/>
    <n v="1.194284494689317"/>
    <n v="36092.552976124658"/>
    <n v="139855.38498812466"/>
    <n v="0"/>
    <n v="0"/>
    <n v="139855.38498812466"/>
    <n v="39.761191721063888"/>
  </r>
  <r>
    <s v="070409"/>
    <s v="Cincinnati Christian Schools"/>
    <s v="Butler"/>
    <x v="0"/>
    <n v="1"/>
    <x v="0"/>
    <n v="492"/>
    <n v="14514"/>
    <n v="492"/>
    <n v="1"/>
    <n v="0"/>
    <n v="14514"/>
    <n v="0"/>
    <n v="0"/>
    <n v="14514"/>
    <n v="29.5"/>
  </r>
  <r>
    <s v="046094"/>
    <s v="Edgewood City"/>
    <s v="Butler"/>
    <x v="1"/>
    <n v="1"/>
    <x v="7"/>
    <n v="3539.8648389999998"/>
    <n v="104426.0127505"/>
    <n v="4391.2341774401102"/>
    <n v="1.2405089960103164"/>
    <n v="44965.317593353291"/>
    <n v="149391.33034385327"/>
    <n v="2210624.3308105543"/>
    <n v="44310.420992101543"/>
    <n v="193701.75133595482"/>
    <n v="54.720098124050104"/>
  </r>
  <r>
    <s v="046102"/>
    <s v="Fairfield City"/>
    <s v="Butler"/>
    <x v="1"/>
    <n v="1"/>
    <x v="10"/>
    <n v="9214.7267100000008"/>
    <n v="271834.43794500001"/>
    <n v="11426.167286473799"/>
    <n v="1.2399898169604857"/>
    <n v="116797.87299148503"/>
    <n v="388632.31093648507"/>
    <n v="6106458.43167591"/>
    <n v="122399.69501245655"/>
    <n v="511032.00594894163"/>
    <n v="55.45818362625554"/>
  </r>
  <r>
    <s v="096164"/>
    <s v="Fairfield Educational Building"/>
    <s v="Butler"/>
    <x v="0"/>
    <n v="1"/>
    <x v="0"/>
    <n v="18"/>
    <n v="531"/>
    <n v="18"/>
    <n v="1"/>
    <n v="0"/>
    <n v="531"/>
    <n v="0"/>
    <n v="0"/>
    <n v="531"/>
    <n v="29.5"/>
  </r>
  <r>
    <s v="044107"/>
    <s v="Hamilton City"/>
    <s v="Butler"/>
    <x v="1"/>
    <n v="1"/>
    <x v="9"/>
    <n v="9898.4443289999999"/>
    <n v="292004.10770549998"/>
    <n v="12716.696965839599"/>
    <n v="1.2847167234736891"/>
    <n v="148846.82728412861"/>
    <n v="440850.93498962861"/>
    <n v="4560344.0888193334"/>
    <n v="91408.912689536213"/>
    <n v="532259.84767916484"/>
    <n v="53.772070639400859"/>
  </r>
  <r>
    <s v="060327"/>
    <s v="Immanuel Lutheran"/>
    <s v="Butler"/>
    <x v="0"/>
    <n v="1"/>
    <x v="0"/>
    <n v="169"/>
    <n v="4985.5"/>
    <n v="186.4366"/>
    <n v="1.1031751479289942"/>
    <n v="920.91906690555254"/>
    <n v="5906.4190669055524"/>
    <n v="0"/>
    <n v="0"/>
    <n v="5906.4190669055524"/>
    <n v="34.949225247961849"/>
  </r>
  <r>
    <s v="132712"/>
    <s v="International Academy Of Cincinnati, Inc."/>
    <s v="Butler"/>
    <x v="0"/>
    <n v="1"/>
    <x v="0"/>
    <n v="141"/>
    <n v="4159.5"/>
    <n v="160.75460000000001"/>
    <n v="1.1401035460992908"/>
    <n v="1043.3449066384753"/>
    <n v="5202.8449066384755"/>
    <n v="0"/>
    <n v="0"/>
    <n v="5202.8449066384755"/>
    <n v="36.899609266939542"/>
  </r>
  <r>
    <s v="010203"/>
    <s v="Kinder Garden School, West Chester"/>
    <s v="Butler"/>
    <x v="0"/>
    <n v="1"/>
    <x v="0"/>
    <n v="23"/>
    <n v="678.5"/>
    <n v="23"/>
    <n v="1"/>
    <n v="0"/>
    <n v="678.5"/>
    <n v="0"/>
    <n v="0"/>
    <n v="678.5"/>
    <n v="29.5"/>
  </r>
  <r>
    <s v="046110"/>
    <s v="Lakota Local"/>
    <s v="Butler"/>
    <x v="1"/>
    <n v="1"/>
    <x v="11"/>
    <n v="15602.846073999999"/>
    <n v="460283.95918299997"/>
    <n v="18214.989587599801"/>
    <n v="1.1674145538071148"/>
    <n v="137961.11438971595"/>
    <n v="598245.07357271598"/>
    <n v="9836699.9621674046"/>
    <n v="197169.78159595761"/>
    <n v="795414.85516867356"/>
    <n v="50.97883113095137"/>
  </r>
  <r>
    <s v="046128"/>
    <s v="Madison Local"/>
    <s v="Butler"/>
    <x v="1"/>
    <n v="1"/>
    <x v="1"/>
    <n v="1445.1586850000001"/>
    <n v="42632.181207500005"/>
    <n v="1717.4277361955001"/>
    <n v="1.1884007991797108"/>
    <n v="14379.968604786482"/>
    <n v="57012.149812286487"/>
    <n v="1090926.3952451008"/>
    <n v="21866.857779033806"/>
    <n v="78879.007591320289"/>
    <n v="54.581554544870123"/>
  </r>
  <r>
    <s v="132803"/>
    <s v="Marshall High School"/>
    <s v="Butler"/>
    <x v="4"/>
    <n v="1"/>
    <x v="8"/>
    <n v="269.46829400000001"/>
    <n v="7949.3146730000008"/>
    <n v="415.16952504593002"/>
    <n v="1.5406989775425304"/>
    <n v="7695.2526147189355"/>
    <n v="15644.567287718935"/>
    <n v="0"/>
    <n v="0"/>
    <n v="15644.567287718935"/>
    <n v="58.057172721473997"/>
  </r>
  <r>
    <s v="093021"/>
    <s v="McGuffey Montessori School"/>
    <s v="Butler"/>
    <x v="0"/>
    <n v="1"/>
    <x v="0"/>
    <n v="48"/>
    <n v="1416"/>
    <n v="48"/>
    <n v="1"/>
    <n v="0"/>
    <n v="1416"/>
    <n v="0"/>
    <n v="0"/>
    <n v="1416"/>
    <n v="29.5"/>
  </r>
  <r>
    <s v="044404"/>
    <s v="Middletown City"/>
    <s v="Butler"/>
    <x v="1"/>
    <n v="1"/>
    <x v="9"/>
    <n v="5911.7500040000004"/>
    <n v="174396.62511800003"/>
    <n v="8613.6451341653501"/>
    <n v="1.4570381237936647"/>
    <n v="142701.37195029593"/>
    <n v="317097.99706829595"/>
    <n v="3859505.549814831"/>
    <n v="77361.093583432201"/>
    <n v="394459.09065172815"/>
    <n v="66.724589230740435"/>
  </r>
  <r>
    <s v="143214"/>
    <s v="Middletown Preparatory &amp; Fitness Academy"/>
    <s v="Butler"/>
    <x v="4"/>
    <n v="1"/>
    <x v="8"/>
    <n v="270.896342"/>
    <n v="7991.4420890000001"/>
    <n v="400.62414179833098"/>
    <n v="1.4788835420979254"/>
    <n v="6851.611228220484"/>
    <n v="14843.053317220485"/>
    <n v="0"/>
    <n v="0"/>
    <n v="14843.053317220485"/>
    <n v="54.792372638315229"/>
  </r>
  <r>
    <s v="139303"/>
    <s v="Monroe Local"/>
    <s v="Butler"/>
    <x v="1"/>
    <n v="1"/>
    <x v="10"/>
    <n v="2727.5203740000002"/>
    <n v="80461.851032999999"/>
    <n v="3174.5384249835001"/>
    <n v="1.1638917367014689"/>
    <n v="23609.387518304229"/>
    <n v="104071.23855130422"/>
    <n v="2195203.9209500663"/>
    <n v="44001.329644799465"/>
    <n v="148072.56819610368"/>
    <n v="54.288345417178419"/>
  </r>
  <r>
    <s v="134312"/>
    <s v="Mother Teresa Catholic"/>
    <s v="Butler"/>
    <x v="0"/>
    <n v="1"/>
    <x v="0"/>
    <n v="545"/>
    <n v="16077.5"/>
    <n v="564.97239999999999"/>
    <n v="1.0366466055045871"/>
    <n v="1054.8480765667878"/>
    <n v="17132.348076566788"/>
    <n v="0"/>
    <n v="0"/>
    <n v="17132.348076566788"/>
    <n v="31.435501057920714"/>
  </r>
  <r>
    <s v="046136"/>
    <s v="New Miami Local"/>
    <s v="Butler"/>
    <x v="1"/>
    <n v="1"/>
    <x v="1"/>
    <n v="653.63554499999998"/>
    <n v="19282.248577499999"/>
    <n v="894.83377744033805"/>
    <n v="1.3690102753520512"/>
    <n v="12738.954335032329"/>
    <n v="32021.202912532328"/>
    <n v="371493.3170306792"/>
    <n v="7446.3241193703807"/>
    <n v="39467.527031902711"/>
    <n v="60.3815495252828"/>
  </r>
  <r>
    <s v="054627"/>
    <s v="Queen Of Peace"/>
    <s v="Butler"/>
    <x v="0"/>
    <n v="1"/>
    <x v="0"/>
    <n v="178"/>
    <n v="5251"/>
    <n v="189.18619999999999"/>
    <n v="1.062843820224719"/>
    <n v="590.8023849958638"/>
    <n v="5841.8023849958636"/>
    <n v="0"/>
    <n v="0"/>
    <n v="5841.8023849958636"/>
    <n v="32.819114522448672"/>
  </r>
  <r>
    <s v="133736"/>
    <s v="Richard Allen Academy"/>
    <s v="Butler"/>
    <x v="4"/>
    <n v="1"/>
    <x v="8"/>
    <n v="133.83815000000001"/>
    <n v="3948.2254250000005"/>
    <n v="187.90902631844801"/>
    <n v="1.4040019704280731"/>
    <n v="2855.7689552980896"/>
    <n v="6803.9943802980906"/>
    <n v="0"/>
    <n v="0"/>
    <n v="6803.9943802980906"/>
    <n v="50.837480795259722"/>
  </r>
  <r>
    <s v="046144"/>
    <s v="Ross Local"/>
    <s v="Butler"/>
    <x v="1"/>
    <n v="1"/>
    <x v="7"/>
    <n v="2597.6752339999998"/>
    <n v="76631.419402999993"/>
    <n v="2941.8283452257801"/>
    <n v="1.1324850415176189"/>
    <n v="18176.546004535772"/>
    <n v="94807.965407535768"/>
    <n v="2542585.5382001959"/>
    <n v="50964.351579705253"/>
    <n v="145772.31698724104"/>
    <n v="56.116451771677106"/>
  </r>
  <r>
    <s v="054650"/>
    <s v="Sacred Heart"/>
    <s v="Butler"/>
    <x v="0"/>
    <n v="1"/>
    <x v="0"/>
    <n v="440"/>
    <n v="12980"/>
    <n v="453.27319999999997"/>
    <n v="1.0301663636363636"/>
    <n v="701.02789298663481"/>
    <n v="13681.027892986634"/>
    <n v="0"/>
    <n v="0"/>
    <n v="13681.027892986634"/>
    <n v="31.093245211333262"/>
  </r>
  <r>
    <s v="054759"/>
    <s v="St Ann"/>
    <s v="Butler"/>
    <x v="0"/>
    <n v="1"/>
    <x v="0"/>
    <n v="174"/>
    <n v="5133"/>
    <n v="188.5488"/>
    <n v="1.0836137931034482"/>
    <n v="768.39907554199237"/>
    <n v="5901.3990755419927"/>
    <n v="0"/>
    <n v="0"/>
    <n v="5901.3990755419927"/>
    <n v="33.916086641045936"/>
  </r>
  <r>
    <s v="055178"/>
    <s v="St Joseph"/>
    <s v="Butler"/>
    <x v="0"/>
    <n v="1"/>
    <x v="0"/>
    <n v="209"/>
    <n v="6165.5"/>
    <n v="230.61380000000003"/>
    <n v="1.1034153110047848"/>
    <n v="1141.5390918116639"/>
    <n v="7307.0390918116636"/>
    <n v="0"/>
    <n v="0"/>
    <n v="7307.0390918116636"/>
    <n v="34.96190953019935"/>
  </r>
  <r>
    <s v="055475"/>
    <s v="St Peter In Chains"/>
    <s v="Butler"/>
    <x v="0"/>
    <n v="1"/>
    <x v="0"/>
    <n v="169"/>
    <n v="4985.5"/>
    <n v="175.69920000000002"/>
    <n v="1.0396402366863906"/>
    <n v="353.82018358015296"/>
    <n v="5339.3201835801528"/>
    <n v="0"/>
    <n v="0"/>
    <n v="5339.3201835801528"/>
    <n v="31.593610553728716"/>
  </r>
  <r>
    <s v="055129"/>
    <s v="St. John XXIII Catholic School"/>
    <s v="Butler"/>
    <x v="0"/>
    <n v="1"/>
    <x v="0"/>
    <n v="371"/>
    <n v="10944.5"/>
    <n v="387.02359999999999"/>
    <n v="1.0431902964959567"/>
    <n v="846.29106365161795"/>
    <n v="11790.791063651617"/>
    <n v="0"/>
    <n v="0"/>
    <n v="11790.791063651617"/>
    <n v="31.781107988279292"/>
  </r>
  <r>
    <s v="052647"/>
    <s v="Stephen T Badin"/>
    <s v="Butler"/>
    <x v="0"/>
    <n v="1"/>
    <x v="0"/>
    <n v="621"/>
    <n v="18319.5"/>
    <n v="672.83100000000002"/>
    <n v="1.083463768115942"/>
    <n v="2737.4692403783829"/>
    <n v="21056.969240378385"/>
    <n v="0"/>
    <n v="0"/>
    <n v="21056.969240378385"/>
    <n v="33.908163027984514"/>
  </r>
  <r>
    <s v="000634"/>
    <s v="Summit Academy Secondary School - Middletown"/>
    <s v="Butler"/>
    <x v="4"/>
    <n v="1"/>
    <x v="8"/>
    <n v="122.258385"/>
    <n v="3606.6223574999999"/>
    <n v="336.72061081088901"/>
    <n v="2.7541719188494844"/>
    <n v="11326.88442014222"/>
    <n v="14933.50677764222"/>
    <n v="0"/>
    <n v="0"/>
    <n v="14933.50677764222"/>
    <n v="122.14709672176858"/>
  </r>
  <r>
    <s v="132746"/>
    <s v="Summit Acdy Comm Schl for Alternative Learners of Middletown"/>
    <s v="Butler"/>
    <x v="4"/>
    <n v="1"/>
    <x v="8"/>
    <n v="97.523808000000002"/>
    <n v="2876.9523360000003"/>
    <n v="261.911341526846"/>
    <n v="2.6856143837907354"/>
    <n v="8682.1750792269286"/>
    <n v="11559.127415226929"/>
    <n v="0"/>
    <n v="0"/>
    <n v="11559.127415226929"/>
    <n v="118.5262106995138"/>
  </r>
  <r>
    <s v="046151"/>
    <s v="Talawanda City"/>
    <s v="Butler"/>
    <x v="1"/>
    <n v="1"/>
    <x v="10"/>
    <n v="2882.5249180000001"/>
    <n v="85034.485081000006"/>
    <n v="3341.8101578416299"/>
    <n v="1.1593343519681691"/>
    <n v="24257.282642169153"/>
    <n v="109291.76772316916"/>
    <n v="3340301.0800285526"/>
    <n v="66954.002556448278"/>
    <n v="176245.77027961746"/>
    <n v="61.142843615694794"/>
  </r>
  <r>
    <s v="046177"/>
    <s v="Brown Local"/>
    <s v="Carroll"/>
    <x v="1"/>
    <n v="1"/>
    <x v="1"/>
    <n v="610.75377400000002"/>
    <n v="18017.236333000001"/>
    <n v="763.13046875369298"/>
    <n v="1.2494895672207389"/>
    <n v="8047.8191591665309"/>
    <n v="26065.055492166532"/>
    <n v="549345.89747021161"/>
    <n v="11011.25489660367"/>
    <n v="37076.310388770202"/>
    <n v="60.705822816201213"/>
  </r>
  <r>
    <n v="71076"/>
    <s v="Carroll County Board of DD"/>
    <s v="Carroll"/>
    <x v="2"/>
    <n v="1"/>
    <x v="2"/>
    <n v="22.11"/>
    <n v="652.245"/>
    <n v="102.592242"/>
    <n v="4.6400833107191319"/>
    <n v="4250.6928647274626"/>
    <n v="4902.9378647274625"/>
    <n v="0"/>
    <n v="0"/>
    <n v="4902.9378647274625"/>
    <n v="221.75205177419551"/>
  </r>
  <r>
    <s v="045278"/>
    <s v="Carrollton Exempted Village"/>
    <s v="Carroll"/>
    <x v="1"/>
    <n v="1"/>
    <x v="1"/>
    <n v="1881.613881"/>
    <n v="55507.609489499999"/>
    <n v="2295.5337278186498"/>
    <n v="1.2199812889340871"/>
    <n v="21861.296302370891"/>
    <n v="77368.905791870886"/>
    <n v="2594145.9250924806"/>
    <n v="51997.84352940938"/>
    <n v="129366.74932128027"/>
    <n v="68.753079804304576"/>
  </r>
  <r>
    <s v="046193"/>
    <s v="Graham Local"/>
    <s v="Champaign"/>
    <x v="1"/>
    <n v="1"/>
    <x v="1"/>
    <n v="1717.003346"/>
    <n v="50651.598706999997"/>
    <n v="2082.3062131083102"/>
    <n v="1.2127560601202871"/>
    <n v="19293.576472208351"/>
    <n v="69945.175179208352"/>
    <n v="2079138.6018268699"/>
    <n v="41674.881373488832"/>
    <n v="111620.05655269718"/>
    <n v="65.008642419207717"/>
  </r>
  <r>
    <s v="045484"/>
    <s v="Mechanicsburg Exempted Village"/>
    <s v="Champaign"/>
    <x v="1"/>
    <n v="1"/>
    <x v="3"/>
    <n v="814.68800899999997"/>
    <n v="24033.296265499997"/>
    <n v="984.65006967016802"/>
    <n v="1.2086222686385066"/>
    <n v="8976.5953409332142"/>
    <n v="33009.891606433215"/>
    <n v="616362.40972375101"/>
    <n v="12354.55408588195"/>
    <n v="45364.445692315167"/>
    <n v="55.683212703717565"/>
  </r>
  <r>
    <s v="046201"/>
    <s v="Triad Local"/>
    <s v="Champaign"/>
    <x v="1"/>
    <n v="1"/>
    <x v="3"/>
    <n v="794.41681700000004"/>
    <n v="23435.2961015"/>
    <n v="985.16571651883203"/>
    <n v="1.2401118599668717"/>
    <n v="10074.458240605609"/>
    <n v="33509.754342105611"/>
    <n v="1127650.9678655732"/>
    <n v="22602.976191777176"/>
    <n v="56112.730533882786"/>
    <n v="70.633865413101873"/>
  </r>
  <r>
    <s v="044941"/>
    <s v="Urbana City"/>
    <s v="Champaign"/>
    <x v="1"/>
    <n v="1"/>
    <x v="6"/>
    <n v="1939.60706"/>
    <n v="57218.40827"/>
    <n v="2490.7603760955799"/>
    <n v="1.2841572024880028"/>
    <n v="29109.321632694591"/>
    <n v="86327.729902694584"/>
    <n v="1363874.3513317255"/>
    <n v="27337.908954290437"/>
    <n v="113665.63885698502"/>
    <n v="58.602405199012331"/>
  </r>
  <r>
    <s v="046219"/>
    <s v="West Liberty-Salem Local"/>
    <s v="Champaign"/>
    <x v="1"/>
    <n v="1"/>
    <x v="7"/>
    <n v="1185.9848440000001"/>
    <n v="34986.552898000002"/>
    <n v="1326.65695951629"/>
    <n v="1.1186120684661043"/>
    <n v="7429.6384249734401"/>
    <n v="42416.191322973442"/>
    <n v="828050.42559911532"/>
    <n v="16597.692538529296"/>
    <n v="59013.883861502734"/>
    <n v="49.759391243538296"/>
  </r>
  <r>
    <s v="052829"/>
    <s v="Catholic Central"/>
    <s v="Clark"/>
    <x v="0"/>
    <n v="1"/>
    <x v="0"/>
    <n v="515"/>
    <n v="15192.5"/>
    <n v="564.82759999999996"/>
    <n v="1.0967526213592231"/>
    <n v="2631.6590905419107"/>
    <n v="17824.159090541911"/>
    <n v="0"/>
    <n v="0"/>
    <n v="17824.159090541911"/>
    <n v="34.610017651537689"/>
  </r>
  <r>
    <s v="046284"/>
    <s v="Clark-Shawnee Local"/>
    <s v="Clark"/>
    <x v="1"/>
    <n v="1"/>
    <x v="7"/>
    <n v="1845.8696600000001"/>
    <n v="54453.154970000003"/>
    <n v="2203.3104291112199"/>
    <n v="1.1936435582950207"/>
    <n v="18878.337494919175"/>
    <n v="73331.492464919182"/>
    <n v="1155439.4658956369"/>
    <n v="23159.977229578486"/>
    <n v="96491.469694497675"/>
    <n v="52.274259545767535"/>
  </r>
  <r>
    <s v="132795"/>
    <s v="Cliff Park High School"/>
    <s v="Clark"/>
    <x v="4"/>
    <n v="1"/>
    <x v="8"/>
    <n v="177.701978"/>
    <n v="5242.2083510000002"/>
    <n v="254.73660921139199"/>
    <n v="1.4335046355611867"/>
    <n v="4068.6063048190858"/>
    <n v="9310.8146558190856"/>
    <n v="0"/>
    <n v="0"/>
    <n v="9310.8146558190856"/>
    <n v="52.395672578383376"/>
  </r>
  <r>
    <s v="134619"/>
    <s v="Emmanuel Christian Academy"/>
    <s v="Clark"/>
    <x v="0"/>
    <n v="1"/>
    <x v="0"/>
    <n v="279"/>
    <n v="8230.5"/>
    <n v="307.02120000000002"/>
    <n v="1.1004344086021507"/>
    <n v="1479.9477740828997"/>
    <n v="9710.4477740828988"/>
    <n v="0"/>
    <n v="0"/>
    <n v="9710.4477740828988"/>
    <n v="34.804472308540859"/>
  </r>
  <r>
    <s v="013930"/>
    <s v="Global Impact STEM Academy"/>
    <s v="Clark"/>
    <x v="5"/>
    <n v="1"/>
    <x v="12"/>
    <n v="640.07626300000004"/>
    <n v="18882.249758500002"/>
    <n v="683.80273086471504"/>
    <n v="1.0683144656228487"/>
    <n v="2309.4260340346727"/>
    <n v="21191.675792534676"/>
    <n v="0"/>
    <n v="0"/>
    <n v="21191.675792534676"/>
    <n v="33.10804823976838"/>
  </r>
  <r>
    <s v="046235"/>
    <s v="Greenon Local"/>
    <s v="Clark"/>
    <x v="1"/>
    <n v="1"/>
    <x v="7"/>
    <n v="1497.9593500000001"/>
    <n v="44189.800825000006"/>
    <n v="1818.72170453179"/>
    <n v="1.2141328831999278"/>
    <n v="16941.156431520136"/>
    <n v="61130.957256520138"/>
    <n v="1280816.9164004794"/>
    <n v="25673.080671604268"/>
    <n v="86804.03792812441"/>
    <n v="57.948193272483934"/>
  </r>
  <r>
    <s v="000479"/>
    <s v="Guiding Shepherd Christian School"/>
    <s v="Clark"/>
    <x v="0"/>
    <n v="1"/>
    <x v="0"/>
    <n v="25"/>
    <n v="737.5"/>
    <n v="30.0244"/>
    <n v="1.200976"/>
    <n v="265.36513768511395"/>
    <n v="1002.865137685114"/>
    <n v="0"/>
    <n v="0"/>
    <n v="1002.865137685114"/>
    <n v="40.114605507404555"/>
  </r>
  <r>
    <s v="112490"/>
    <s v="Nightingale Montessori Inc"/>
    <s v="Clark"/>
    <x v="0"/>
    <n v="1"/>
    <x v="0"/>
    <n v="141"/>
    <n v="4159.5"/>
    <n v="188.71960000000001"/>
    <n v="1.3384368794326242"/>
    <n v="2520.3244614836731"/>
    <n v="6679.8244614836731"/>
    <n v="0"/>
    <n v="0"/>
    <n v="6679.8244614836731"/>
    <n v="47.37464157080619"/>
  </r>
  <r>
    <s v="046250"/>
    <s v="Northeastern Local"/>
    <s v="Clark"/>
    <x v="1"/>
    <n v="1"/>
    <x v="7"/>
    <n v="3110.6273379999998"/>
    <n v="91763.506471000001"/>
    <n v="3613.75297626766"/>
    <n v="1.1617441061233482"/>
    <n v="26572.725951717319"/>
    <n v="118336.23242271732"/>
    <n v="2740688.1970458585"/>
    <n v="54935.181037593022"/>
    <n v="173271.41346031034"/>
    <n v="55.703044637843519"/>
  </r>
  <r>
    <s v="046268"/>
    <s v="Northwestern Local"/>
    <s v="Clark"/>
    <x v="1"/>
    <n v="1"/>
    <x v="7"/>
    <n v="1574.123726"/>
    <n v="46436.649917000002"/>
    <n v="1859.6028425244899"/>
    <n v="1.1813574827754612"/>
    <n v="15077.662021882405"/>
    <n v="61514.311938882405"/>
    <n v="1744993.3011608804"/>
    <n v="34977.172161352595"/>
    <n v="96491.484100235"/>
    <n v="61.298538676771713"/>
  </r>
  <r>
    <s v="062612"/>
    <s v="Ridgewood School, The"/>
    <s v="Clark"/>
    <x v="0"/>
    <n v="1"/>
    <x v="0"/>
    <n v="115"/>
    <n v="3392.5"/>
    <n v="117.9"/>
    <n v="1.0252173913043479"/>
    <n v="153.16433788847067"/>
    <n v="3545.6643378884705"/>
    <n v="0"/>
    <n v="0"/>
    <n v="3545.6643378884705"/>
    <n v="30.831863807725831"/>
  </r>
  <r>
    <s v="000660"/>
    <s v="Risen Christ Lutheran School"/>
    <s v="Clark"/>
    <x v="0"/>
    <n v="1"/>
    <x v="0"/>
    <n v="90"/>
    <n v="2655"/>
    <n v="97.373999999999995"/>
    <n v="1.0819333333333332"/>
    <n v="389.45994054813093"/>
    <n v="3044.4599405481308"/>
    <n v="0"/>
    <n v="0"/>
    <n v="3044.4599405481308"/>
    <n v="33.827332672757009"/>
  </r>
  <r>
    <s v="046276"/>
    <s v="Southeastern Local"/>
    <s v="Clark"/>
    <x v="1"/>
    <n v="1"/>
    <x v="7"/>
    <n v="731.43927399999995"/>
    <n v="21577.458583"/>
    <n v="873.23826149581305"/>
    <n v="1.1938629665322198"/>
    <n v="7489.1544941557595"/>
    <n v="29066.613077155758"/>
    <n v="599472.14368039451"/>
    <n v="12016.000497821464"/>
    <n v="41082.613574977222"/>
    <n v="56.166813890522953"/>
  </r>
  <r>
    <s v="070656"/>
    <s v="Springfield Christian"/>
    <s v="Clark"/>
    <x v="0"/>
    <n v="1"/>
    <x v="0"/>
    <n v="106"/>
    <n v="3127"/>
    <n v="127.9854"/>
    <n v="1.2074094339622641"/>
    <n v="1161.1652531769573"/>
    <n v="4288.1652531769578"/>
    <n v="0"/>
    <n v="0"/>
    <n v="4288.1652531769578"/>
    <n v="40.454389180914696"/>
  </r>
  <r>
    <s v="044818"/>
    <s v="Springfield City School District"/>
    <s v="Clark"/>
    <x v="1"/>
    <n v="1"/>
    <x v="9"/>
    <n v="7531.4406959999997"/>
    <n v="222177.50053199998"/>
    <n v="10796.9858300942"/>
    <n v="1.4335883751734981"/>
    <n v="172470.70976153598"/>
    <n v="394648.21029353596"/>
    <n v="1201007.3212592644"/>
    <n v="24073.353069483939"/>
    <n v="418721.5633630199"/>
    <n v="55.596476194177008"/>
  </r>
  <r>
    <s v="000510"/>
    <s v="Springfield Preparatory and Fitness Academy"/>
    <s v="Clark"/>
    <x v="4"/>
    <n v="1"/>
    <x v="8"/>
    <n v="147.731638"/>
    <n v="4358.0833210000001"/>
    <n v="215.44832133818099"/>
    <n v="1.4583763116346207"/>
    <n v="3576.4761956881739"/>
    <n v="7934.559516688174"/>
    <n v="0"/>
    <n v="0"/>
    <n v="7934.559516688174"/>
    <n v="53.709277336302016"/>
  </r>
  <r>
    <s v="051532"/>
    <s v="Springfield-Clark County"/>
    <s v="Clark"/>
    <x v="3"/>
    <n v="1"/>
    <x v="4"/>
    <n v="731.54388200000005"/>
    <n v="21580.544519000003"/>
    <n v="943.09087880330696"/>
    <n v="1.2891788203121175"/>
    <n v="11172.915757818228"/>
    <n v="32753.46027681823"/>
    <n v="0"/>
    <n v="0"/>
    <n v="32753.46027681823"/>
    <n v="44.773062946370494"/>
  </r>
  <r>
    <s v="046243"/>
    <s v="Tecumseh Local"/>
    <s v="Clark"/>
    <x v="1"/>
    <n v="1"/>
    <x v="6"/>
    <n v="2873.5191920000002"/>
    <n v="84768.816164000003"/>
    <n v="3538.4452936951402"/>
    <n v="1.2313978286786191"/>
    <n v="35118.264176171666"/>
    <n v="119887.08034017167"/>
    <n v="2181986.4476429024"/>
    <n v="43736.394622358297"/>
    <n v="163623.47496252996"/>
    <n v="56.941841703394459"/>
  </r>
  <r>
    <s v="046300"/>
    <s v="Batavia Local"/>
    <s v="Clermont"/>
    <x v="1"/>
    <n v="1"/>
    <x v="7"/>
    <n v="2245.1697680000002"/>
    <n v="66232.508156000011"/>
    <n v="2879.2708564258101"/>
    <n v="1.2824290160430354"/>
    <n v="33490.232194171578"/>
    <n v="99722.740350171589"/>
    <n v="1771142.9674448485"/>
    <n v="35501.323961229304"/>
    <n v="135224.0643114009"/>
    <n v="60.228881681343253"/>
  </r>
  <r>
    <s v="046318"/>
    <s v="Bethel-Tate Local"/>
    <s v="Clermont"/>
    <x v="1"/>
    <n v="1"/>
    <x v="1"/>
    <n v="1497.646804"/>
    <n v="44180.580717999997"/>
    <n v="1848.53924203374"/>
    <n v="1.2342958547346121"/>
    <n v="18532.485497072041"/>
    <n v="62713.066215072038"/>
    <n v="650450.94893886778"/>
    <n v="13037.83504980482"/>
    <n v="75750.901264876855"/>
    <n v="50.579950534770319"/>
  </r>
  <r>
    <s v="095158"/>
    <s v="Children's Meeting House"/>
    <s v="Clermont"/>
    <x v="0"/>
    <n v="1"/>
    <x v="0"/>
    <n v="74"/>
    <n v="2183"/>
    <n v="74"/>
    <n v="1"/>
    <n v="0"/>
    <n v="2183"/>
    <n v="0"/>
    <n v="0"/>
    <n v="2183"/>
    <n v="29.5"/>
  </r>
  <r>
    <n v="65912"/>
    <s v="Clermont County Board of DD"/>
    <s v="Clermont"/>
    <x v="2"/>
    <n v="1"/>
    <x v="2"/>
    <n v="39.79"/>
    <n v="1173.8050000000001"/>
    <n v="174.83743299999998"/>
    <n v="4.3940043478260868"/>
    <n v="7132.5691927526077"/>
    <n v="8306.374192752608"/>
    <n v="0"/>
    <n v="0"/>
    <n v="8306.374192752608"/>
    <n v="208.75532025012839"/>
  </r>
  <r>
    <s v="046326"/>
    <s v="Clermont Northeastern Local"/>
    <s v="Clermont"/>
    <x v="1"/>
    <n v="1"/>
    <x v="7"/>
    <n v="1427.975684"/>
    <n v="42125.282678000003"/>
    <n v="1754.4723119851801"/>
    <n v="1.2286429885630883"/>
    <n v="17244.013740747705"/>
    <n v="59369.296418747705"/>
    <n v="1968788.782468583"/>
    <n v="39462.996303728833"/>
    <n v="98832.29272247653"/>
    <n v="69.211467554987109"/>
  </r>
  <r>
    <s v="096156"/>
    <s v="Eastern Hills Educational Bldg"/>
    <s v="Clermont"/>
    <x v="0"/>
    <n v="1"/>
    <x v="0"/>
    <n v="14"/>
    <n v="413"/>
    <n v="14"/>
    <n v="1"/>
    <n v="0"/>
    <n v="413"/>
    <n v="0"/>
    <n v="0"/>
    <n v="413"/>
    <n v="29.5"/>
  </r>
  <r>
    <s v="046334"/>
    <s v="Felicity-Franklin Local"/>
    <s v="Clermont"/>
    <x v="1"/>
    <n v="1"/>
    <x v="1"/>
    <n v="750.258195"/>
    <n v="22132.616752499998"/>
    <n v="958.87586222801497"/>
    <n v="1.278061164300931"/>
    <n v="11018.202369936605"/>
    <n v="33150.819122436602"/>
    <n v="669741.26681780862"/>
    <n v="13424.496000909943"/>
    <n v="46575.315123346547"/>
    <n v="62.079048831111464"/>
  </r>
  <r>
    <s v="046342"/>
    <s v="Goshen Local"/>
    <s v="Clermont"/>
    <x v="1"/>
    <n v="1"/>
    <x v="6"/>
    <n v="2778.2183639999998"/>
    <n v="81957.441737999994"/>
    <n v="3608.24486411005"/>
    <n v="1.298762153063808"/>
    <n v="43838.089420427663"/>
    <n v="125795.53115842765"/>
    <n v="2131319.4168338515"/>
    <n v="42720.809371495867"/>
    <n v="168516.3405299235"/>
    <n v="60.656261837999828"/>
  </r>
  <r>
    <s v="045500"/>
    <s v="Milford Exempted Village"/>
    <s v="Clermont"/>
    <x v="1"/>
    <n v="1"/>
    <x v="10"/>
    <n v="6344.5793409999997"/>
    <n v="187165.09055949998"/>
    <n v="7355.2745094747597"/>
    <n v="1.159300579936551"/>
    <n v="53380.157340176767"/>
    <n v="240545.24789967673"/>
    <n v="4809409.5808635065"/>
    <n v="96401.256550618957"/>
    <n v="336946.5044502957"/>
    <n v="53.107776944781328"/>
  </r>
  <r>
    <s v="045559"/>
    <s v="New Richmond Exempted Village"/>
    <s v="Clermont"/>
    <x v="1"/>
    <n v="1"/>
    <x v="7"/>
    <n v="2301.9607639999999"/>
    <n v="67907.842537999997"/>
    <n v="2852.4875415879601"/>
    <n v="1.2391555869229229"/>
    <n v="29076.230820390731"/>
    <n v="96984.073358390728"/>
    <n v="1834499.8653636011"/>
    <n v="36771.268736741738"/>
    <n v="133755.34209513245"/>
    <n v="58.104961729544257"/>
  </r>
  <r>
    <s v="054312"/>
    <s v="St Andrew/St Elizabeth A Seton"/>
    <s v="Clermont"/>
    <x v="0"/>
    <n v="1"/>
    <x v="0"/>
    <n v="245"/>
    <n v="7227.5"/>
    <n v="254.97399999999999"/>
    <n v="1.0407102040816325"/>
    <n v="526.77969175848341"/>
    <n v="7754.2796917584838"/>
    <n v="0"/>
    <n v="0"/>
    <n v="7754.2796917584838"/>
    <n v="31.650121190850953"/>
  </r>
  <r>
    <s v="054817"/>
    <s v="St Bernadette"/>
    <s v="Clermont"/>
    <x v="0"/>
    <n v="1"/>
    <x v="0"/>
    <n v="210"/>
    <n v="6195"/>
    <n v="221.18619999999999"/>
    <n v="1.0532676190476189"/>
    <n v="590.8023849958638"/>
    <n v="6785.8023849958636"/>
    <n v="0"/>
    <n v="0"/>
    <n v="6785.8023849958636"/>
    <n v="32.313344690456496"/>
  </r>
  <r>
    <s v="054965"/>
    <s v="St Columban"/>
    <s v="Clermont"/>
    <x v="0"/>
    <n v="1"/>
    <x v="0"/>
    <n v="454"/>
    <n v="13393"/>
    <n v="471.96019999999999"/>
    <n v="1.0395599118942731"/>
    <n v="948.57315218775977"/>
    <n v="14341.573152187761"/>
    <n v="0"/>
    <n v="0"/>
    <n v="14341.573152187761"/>
    <n v="31.589368176625022"/>
  </r>
  <r>
    <s v="055244"/>
    <s v="St Louis"/>
    <s v="Clermont"/>
    <x v="0"/>
    <n v="1"/>
    <x v="0"/>
    <n v="123"/>
    <n v="3628.5"/>
    <n v="135.92359999999999"/>
    <n v="1.105069918699187"/>
    <n v="682.56366797773615"/>
    <n v="4311.0636679777363"/>
    <n v="0"/>
    <n v="0"/>
    <n v="4311.0636679777363"/>
    <n v="35.049298113640134"/>
  </r>
  <r>
    <s v="132704"/>
    <s v="St Mark's Evangelical Lutheran"/>
    <s v="Clermont"/>
    <x v="0"/>
    <n v="1"/>
    <x v="0"/>
    <n v="71"/>
    <n v="2094.5"/>
    <n v="71"/>
    <n v="1"/>
    <n v="0"/>
    <n v="2094.5"/>
    <n v="0"/>
    <n v="0"/>
    <n v="2094.5"/>
    <n v="29.5"/>
  </r>
  <r>
    <s v="055590"/>
    <s v="St Thomas More"/>
    <s v="Clermont"/>
    <x v="0"/>
    <n v="1"/>
    <x v="0"/>
    <n v="212"/>
    <n v="6254"/>
    <n v="222.774"/>
    <n v="1.0508207547169812"/>
    <n v="569.03192290013101"/>
    <n v="6823.0319229001307"/>
    <n v="0"/>
    <n v="0"/>
    <n v="6823.0319229001307"/>
    <n v="32.18411284386854"/>
  </r>
  <r>
    <s v="068056"/>
    <s v="St Veronica"/>
    <s v="Clermont"/>
    <x v="0"/>
    <n v="1"/>
    <x v="0"/>
    <n v="361"/>
    <n v="10649.5"/>
    <n v="369.47400000000005"/>
    <n v="1.0234736842105265"/>
    <n v="447.55675836789828"/>
    <n v="11097.056758367899"/>
    <n v="0"/>
    <n v="0"/>
    <n v="11097.056758367899"/>
    <n v="30.739769413761493"/>
  </r>
  <r>
    <s v="062802"/>
    <s v="U S Grant"/>
    <s v="Clermont"/>
    <x v="3"/>
    <n v="1"/>
    <x v="4"/>
    <n v="329.18889799999999"/>
    <n v="9711.072490999999"/>
    <n v="420.22228428675697"/>
    <n v="1.2765384459799036"/>
    <n v="4807.9545987436177"/>
    <n v="14519.027089743617"/>
    <n v="0"/>
    <n v="0"/>
    <n v="14519.027089743617"/>
    <n v="44.105457923868428"/>
  </r>
  <r>
    <s v="046359"/>
    <s v="West Clermont Local"/>
    <s v="Clermont"/>
    <x v="1"/>
    <n v="1"/>
    <x v="10"/>
    <n v="7976.2658659999997"/>
    <n v="235299.843047"/>
    <n v="9586.2820453283693"/>
    <n v="1.2018508668562942"/>
    <n v="85033.46968846707"/>
    <n v="320333.3127354671"/>
    <n v="4315508.7927621799"/>
    <n v="86501.360152990805"/>
    <n v="406834.67288845789"/>
    <n v="51.005655995326109"/>
  </r>
  <r>
    <s v="046367"/>
    <s v="Williamsburg Local"/>
    <s v="Clermont"/>
    <x v="1"/>
    <n v="1"/>
    <x v="1"/>
    <n v="996.53043400000001"/>
    <n v="29397.647803"/>
    <n v="1189.52309481322"/>
    <n v="1.1936645929001501"/>
    <n v="10192.963141652064"/>
    <n v="39590.610944652064"/>
    <n v="659694.62463764194"/>
    <n v="13223.118074160642"/>
    <n v="52813.729018812708"/>
    <n v="52.997607716627655"/>
  </r>
  <r>
    <s v="046383"/>
    <s v="Blanchester Local"/>
    <s v="Clinton"/>
    <x v="1"/>
    <n v="1"/>
    <x v="1"/>
    <n v="1460.423781"/>
    <n v="43082.501539500001"/>
    <n v="1766.3983366856601"/>
    <n v="1.2095108006774236"/>
    <n v="16160.134562866566"/>
    <n v="59242.636102366567"/>
    <n v="1343137.1396521011"/>
    <n v="26922.246027342753"/>
    <n v="86164.882129709324"/>
    <n v="58.999917182058901"/>
  </r>
  <r>
    <s v="046391"/>
    <s v="Clinton-Massie Local"/>
    <s v="Clinton"/>
    <x v="1"/>
    <n v="1"/>
    <x v="3"/>
    <n v="1650.196314"/>
    <n v="48680.791262999999"/>
    <n v="1892.8813402762401"/>
    <n v="1.1470643366594262"/>
    <n v="12817.479781050462"/>
    <n v="61498.27104405046"/>
    <n v="1961698.1523700561"/>
    <n v="39320.869574919248"/>
    <n v="100819.14061896972"/>
    <n v="61.09524046541393"/>
  </r>
  <r>
    <s v="046409"/>
    <s v="East Clinton Local"/>
    <s v="Clinton"/>
    <x v="1"/>
    <n v="1"/>
    <x v="3"/>
    <n v="1235.5719389999999"/>
    <n v="36449.372200499995"/>
    <n v="1563.66720020614"/>
    <n v="1.2655412047247376"/>
    <n v="17328.446016201098"/>
    <n v="53777.818216701096"/>
    <n v="1030096.7026646906"/>
    <n v="20647.569069735204"/>
    <n v="74425.387286436307"/>
    <n v="60.235575879678755"/>
  </r>
  <r>
    <s v="010608"/>
    <s v="Wilmington Christian Academy"/>
    <s v="Clinton"/>
    <x v="0"/>
    <n v="1"/>
    <x v="0"/>
    <n v="207"/>
    <n v="6106.5"/>
    <n v="207"/>
    <n v="1"/>
    <n v="0"/>
    <n v="6106.5"/>
    <n v="0"/>
    <n v="0"/>
    <n v="6106.5"/>
    <n v="29.5"/>
  </r>
  <r>
    <s v="045112"/>
    <s v="Wilmington City"/>
    <s v="Clinton"/>
    <x v="1"/>
    <n v="1"/>
    <x v="6"/>
    <n v="2720.2983899999999"/>
    <n v="80248.802505"/>
    <n v="3313.4871353147601"/>
    <n v="1.2180601758598844"/>
    <n v="31329.434972078525"/>
    <n v="111578.23747707852"/>
    <n v="2019500.7136378922"/>
    <n v="40479.481550957906"/>
    <n v="152057.71902803643"/>
    <n v="55.897441099480424"/>
  </r>
  <r>
    <s v="046425"/>
    <s v="Beaver Local"/>
    <s v="Columbiana"/>
    <x v="1"/>
    <n v="1"/>
    <x v="1"/>
    <n v="1721.8320590000001"/>
    <n v="50794.045740500005"/>
    <n v="2033.42842546216"/>
    <n v="1.1809679200903762"/>
    <n v="16457.052123320656"/>
    <n v="67251.097863820658"/>
    <n v="2224827.1753139291"/>
    <n v="44595.10709206821"/>
    <n v="111846.20495588887"/>
    <n v="64.957673642600511"/>
  </r>
  <r>
    <s v="000417"/>
    <s v="Buckeye On-Line School for Success"/>
    <s v="Columbiana"/>
    <x v="4"/>
    <n v="1"/>
    <x v="5"/>
    <n v="573.87287500000002"/>
    <n v="3385.8499625000004"/>
    <n v="822.98659654627897"/>
    <n v="1.4340921698839293"/>
    <n v="0"/>
    <n v="3385.8499625000004"/>
    <n v="0"/>
    <n v="0"/>
    <n v="3385.8499625000004"/>
    <n v="5.9"/>
  </r>
  <r>
    <s v="050906"/>
    <s v="Columbiana County"/>
    <s v="Columbiana"/>
    <x v="3"/>
    <n v="1"/>
    <x v="4"/>
    <n v="324.987754"/>
    <n v="9587.1387429999995"/>
    <n v="418.76267819893502"/>
    <n v="1.2885491008345349"/>
    <n v="4952.7497156797863"/>
    <n v="14539.888458679787"/>
    <n v="0"/>
    <n v="0"/>
    <n v="14539.888458679787"/>
    <n v="44.739804130218971"/>
  </r>
  <r>
    <n v="65920"/>
    <s v="Columbiana County Board of DD"/>
    <s v="Columbiana"/>
    <x v="2"/>
    <n v="1"/>
    <x v="2"/>
    <n v="47.91"/>
    <n v="1413.3449999999998"/>
    <n v="225.59475300000003"/>
    <n v="4.7087195366311843"/>
    <n v="9384.4715676280703"/>
    <n v="10797.81656762807"/>
    <n v="0"/>
    <n v="0"/>
    <n v="10797.81656762807"/>
    <n v="225.37709387660342"/>
  </r>
  <r>
    <s v="045328"/>
    <s v="Columbiana Exempted Village"/>
    <s v="Columbiana"/>
    <x v="1"/>
    <n v="1"/>
    <x v="6"/>
    <n v="1060.2176919999999"/>
    <n v="31276.421913999999"/>
    <n v="1240.75196548496"/>
    <n v="1.1702803818944008"/>
    <n v="9534.969815344808"/>
    <n v="40811.391729344803"/>
    <n v="513422.79167989956"/>
    <n v="10291.201326792065"/>
    <n v="51102.593056136866"/>
    <n v="48.200094604851081"/>
  </r>
  <r>
    <s v="046433"/>
    <s v="Crestview Local"/>
    <s v="Columbiana"/>
    <x v="1"/>
    <n v="1"/>
    <x v="3"/>
    <n v="1203.9927150000001"/>
    <n v="35517.785092500002"/>
    <n v="1396.4016679638301"/>
    <n v="1.1598090674193406"/>
    <n v="10162.134442937537"/>
    <n v="45679.919535437541"/>
    <n v="796899.20411268249"/>
    <n v="15973.288057295742"/>
    <n v="61653.207592733284"/>
    <n v="51.207292888589677"/>
  </r>
  <r>
    <s v="070151"/>
    <s v="East Liverpool Christian School"/>
    <s v="Columbiana"/>
    <x v="0"/>
    <n v="1"/>
    <x v="0"/>
    <n v="102"/>
    <n v="3009"/>
    <n v="112.1618"/>
    <n v="1.0996254901960785"/>
    <n v="536.69840301898557"/>
    <n v="3545.6984030189856"/>
    <n v="0"/>
    <n v="0"/>
    <n v="3545.6984030189856"/>
    <n v="34.76174904920574"/>
  </r>
  <r>
    <s v="043919"/>
    <s v="East Liverpool City"/>
    <s v="Columbiana"/>
    <x v="1"/>
    <n v="1"/>
    <x v="6"/>
    <n v="2128.8780099999999"/>
    <n v="62801.901294999996"/>
    <n v="2942.4243855261002"/>
    <n v="1.3821479538539179"/>
    <n v="42967.686878972425"/>
    <n v="105769.58817397241"/>
    <n v="1242443.5725994483"/>
    <n v="24903.913791913372"/>
    <n v="130673.50196588578"/>
    <n v="61.381394965832627"/>
  </r>
  <r>
    <s v="043927"/>
    <s v="East Palestine City"/>
    <s v="Columbiana"/>
    <x v="1"/>
    <n v="1"/>
    <x v="1"/>
    <n v="1068.344126"/>
    <n v="31516.151717000001"/>
    <n v="1362.0827251959099"/>
    <n v="1.2749475492467957"/>
    <n v="15513.888985561493"/>
    <n v="47030.040702561491"/>
    <n v="588801.3312753957"/>
    <n v="11802.111514784774"/>
    <n v="58832.152217346265"/>
    <n v="55.068540918196867"/>
  </r>
  <r>
    <s v="125278"/>
    <s v="Heartland Christian School"/>
    <s v="Columbiana"/>
    <x v="0"/>
    <n v="1"/>
    <x v="0"/>
    <n v="313"/>
    <n v="9233.5"/>
    <n v="313"/>
    <n v="1"/>
    <n v="0"/>
    <n v="9233.5"/>
    <n v="0"/>
    <n v="0"/>
    <n v="9233.5"/>
    <n v="29.5"/>
  </r>
  <r>
    <s v="045443"/>
    <s v="Leetonia Exempted Village"/>
    <s v="Columbiana"/>
    <x v="1"/>
    <n v="1"/>
    <x v="1"/>
    <n v="614.91913999999997"/>
    <n v="18140.11463"/>
    <n v="832.36892056022896"/>
    <n v="1.3536233732458369"/>
    <n v="11484.672987414016"/>
    <n v="29624.787617414018"/>
    <n v="342820.70872049761"/>
    <n v="6871.6017083943243"/>
    <n v="36496.389325808341"/>
    <n v="59.351526000326388"/>
  </r>
  <r>
    <s v="045450"/>
    <s v="Lisbon Exempted Village"/>
    <s v="Columbiana"/>
    <x v="1"/>
    <n v="1"/>
    <x v="1"/>
    <n v="855.72788200000002"/>
    <n v="25243.972518999999"/>
    <n v="1089.4719443322299"/>
    <n v="1.2731523270995042"/>
    <n v="12345.260187061151"/>
    <n v="37589.23270606115"/>
    <n v="313233.32123117952"/>
    <n v="6278.5431875793392"/>
    <n v="43867.775893640486"/>
    <n v="51.263698211063414"/>
  </r>
  <r>
    <s v="044735"/>
    <s v="Salem City"/>
    <s v="Columbiana"/>
    <x v="1"/>
    <n v="1"/>
    <x v="6"/>
    <n v="2056.485134"/>
    <n v="60666.311453000002"/>
    <n v="2528.7665416997002"/>
    <n v="1.2296546665431427"/>
    <n v="24943.67900253769"/>
    <n v="85609.990455537685"/>
    <n v="760005.3685519126"/>
    <n v="15233.776887113483"/>
    <n v="100843.76734265118"/>
    <n v="49.036954206667836"/>
  </r>
  <r>
    <s v="046441"/>
    <s v="Southern Local"/>
    <s v="Columbiana"/>
    <x v="1"/>
    <n v="1"/>
    <x v="1"/>
    <n v="831.62143100000003"/>
    <n v="24532.832214500002"/>
    <n v="1171.8032190546"/>
    <n v="1.4090584674393751"/>
    <n v="17966.799423827164"/>
    <n v="42499.631638327162"/>
    <n v="6252300.1330043906"/>
    <n v="125322.99007168527"/>
    <n v="167822.62171001243"/>
    <n v="201.80170382118547"/>
  </r>
  <r>
    <s v="059980"/>
    <s v="St Paul"/>
    <s v="Columbiana"/>
    <x v="0"/>
    <n v="1"/>
    <x v="0"/>
    <n v="89"/>
    <n v="2625.5"/>
    <n v="113.6598"/>
    <n v="1.2770764044943821"/>
    <n v="1302.4144618834835"/>
    <n v="3927.9144618834835"/>
    <n v="0"/>
    <n v="0"/>
    <n v="3927.9144618834835"/>
    <n v="44.133870358241388"/>
  </r>
  <r>
    <s v="046458"/>
    <s v="United Local"/>
    <s v="Columbiana"/>
    <x v="1"/>
    <n v="1"/>
    <x v="3"/>
    <n v="1139.943563"/>
    <n v="33628.335108500003"/>
    <n v="1306.9475078923001"/>
    <n v="1.1465019412476827"/>
    <n v="8820.3616014454255"/>
    <n v="42448.696709945427"/>
    <n v="1212215.7949707429"/>
    <n v="24298.019097950393"/>
    <n v="66746.715807895816"/>
    <n v="58.552649424360858"/>
  </r>
  <r>
    <s v="014830"/>
    <s v="Utica Shale Academy of Ohio"/>
    <s v="Columbiana"/>
    <x v="4"/>
    <n v="1"/>
    <x v="8"/>
    <n v="52.412249000000003"/>
    <n v="1546.1613455000002"/>
    <n v="67.3121281271698"/>
    <n v="1.2842823845847522"/>
    <n v="786.94142107972471"/>
    <n v="2333.1027665797246"/>
    <n v="0"/>
    <n v="0"/>
    <n v="2333.1027665797246"/>
    <n v="44.514456278716921"/>
  </r>
  <r>
    <s v="045039"/>
    <s v="Wellsville Local"/>
    <s v="Columbiana"/>
    <x v="1"/>
    <n v="1"/>
    <x v="6"/>
    <n v="700.33031800000003"/>
    <n v="20659.744381"/>
    <n v="954.32838684776596"/>
    <n v="1.3626832400646776"/>
    <n v="13414.981393109718"/>
    <n v="34074.72577410972"/>
    <n v="126688.75104625728"/>
    <n v="2539.3875456735304"/>
    <n v="36614.113319783253"/>
    <n v="52.281205566461352"/>
  </r>
  <r>
    <s v="009484"/>
    <s v="Coshocton Christian School"/>
    <s v="Coshocton"/>
    <x v="0"/>
    <n v="1"/>
    <x v="0"/>
    <n v="108"/>
    <n v="3186"/>
    <n v="108"/>
    <n v="1"/>
    <n v="0"/>
    <n v="3186"/>
    <n v="0"/>
    <n v="0"/>
    <n v="3186"/>
    <n v="29.5"/>
  </r>
  <r>
    <s v="043828"/>
    <s v="Coshocton City"/>
    <s v="Coshocton"/>
    <x v="1"/>
    <n v="1"/>
    <x v="6"/>
    <n v="1532.312578"/>
    <n v="45203.221051"/>
    <n v="2190.8411343838702"/>
    <n v="1.4297612418240362"/>
    <n v="34780.375972132999"/>
    <n v="79983.597023132999"/>
    <n v="790846.16866296052"/>
    <n v="15851.959188650315"/>
    <n v="95835.556211783318"/>
    <n v="62.543085260625794"/>
  </r>
  <r>
    <s v="065227"/>
    <s v="Coshocton County"/>
    <s v="Coshocton"/>
    <x v="3"/>
    <n v="1"/>
    <x v="4"/>
    <n v="188.34563199999999"/>
    <n v="5556.1961439999995"/>
    <n v="262.87427914524699"/>
    <n v="1.3957014896169559"/>
    <n v="3936.2520323190324"/>
    <n v="9492.4481763190324"/>
    <n v="0"/>
    <n v="0"/>
    <n v="9492.4481763190324"/>
    <n v="50.399088502987063"/>
  </r>
  <r>
    <n v="65938"/>
    <s v="Coshocton County Board of DD"/>
    <s v="Coshocton"/>
    <x v="2"/>
    <n v="1"/>
    <x v="2"/>
    <n v="11.870000000000001"/>
    <n v="350.16500000000002"/>
    <n v="51.398414000000002"/>
    <n v="4.3301106992417857"/>
    <n v="2087.7046062383938"/>
    <n v="2437.8696062383938"/>
    <n v="0"/>
    <n v="0"/>
    <n v="2437.8696062383938"/>
    <n v="205.38075873954452"/>
  </r>
  <r>
    <s v="000598"/>
    <s v="Coshocton Opportunity School"/>
    <s v="Coshocton"/>
    <x v="4"/>
    <n v="1"/>
    <x v="8"/>
    <n v="39.782901000000003"/>
    <n v="1173.5955795"/>
    <n v="55.839982645538299"/>
    <n v="1.40361766592985"/>
    <n v="848.05940643447707"/>
    <n v="2021.6549859344771"/>
    <n v="0"/>
    <n v="0"/>
    <n v="2021.6549859344771"/>
    <n v="50.817183642150098"/>
  </r>
  <r>
    <s v="046474"/>
    <s v="Ridgewood Local"/>
    <s v="Coshocton"/>
    <x v="1"/>
    <n v="1"/>
    <x v="1"/>
    <n v="1265.4497289999999"/>
    <n v="37330.767005499998"/>
    <n v="1568.9144462166601"/>
    <n v="1.2398078013391081"/>
    <n v="16027.576718966084"/>
    <n v="53358.343724466082"/>
    <n v="1018843.6181853425"/>
    <n v="20422.008849579313"/>
    <n v="73780.352574045392"/>
    <n v="58.303661444022005"/>
  </r>
  <r>
    <s v="046482"/>
    <s v="River View Local"/>
    <s v="Coshocton"/>
    <x v="1"/>
    <n v="1"/>
    <x v="1"/>
    <n v="1937.0301489999999"/>
    <n v="57142.389395499995"/>
    <n v="2327.5240466363098"/>
    <n v="1.2015941248193291"/>
    <n v="20624.048027915007"/>
    <n v="77766.437423415002"/>
    <n v="2989122.2436361359"/>
    <n v="59914.86801550223"/>
    <n v="137681.30543891725"/>
    <n v="71.078555751956571"/>
  </r>
  <r>
    <s v="057729"/>
    <s v="Sacred Heart"/>
    <s v="Coshocton"/>
    <x v="0"/>
    <n v="1"/>
    <x v="0"/>
    <n v="84"/>
    <n v="2478"/>
    <n v="93.124400000000009"/>
    <n v="1.1086238095238097"/>
    <n v="481.90782228605525"/>
    <n v="2959.9078222860553"/>
    <n v="0"/>
    <n v="0"/>
    <n v="2959.9078222860553"/>
    <n v="35.236997884357798"/>
  </r>
  <r>
    <s v="046508"/>
    <s v="Buckeye Central Local"/>
    <s v="Crawford"/>
    <x v="1"/>
    <n v="1"/>
    <x v="3"/>
    <n v="587.459067"/>
    <n v="17330.042476499999"/>
    <n v="713.92125119015304"/>
    <n v="1.2152697801328736"/>
    <n v="6679.1367963498533"/>
    <n v="24009.179272849851"/>
    <n v="818371.82061988208"/>
    <n v="16403.691660465665"/>
    <n v="40412.870933315513"/>
    <n v="68.792658422472712"/>
  </r>
  <r>
    <s v="043687"/>
    <s v="Bucyrus City"/>
    <s v="Crawford"/>
    <x v="1"/>
    <n v="1"/>
    <x v="6"/>
    <n v="1194.197621"/>
    <n v="35228.829819500002"/>
    <n v="1617.32567054488"/>
    <n v="1.3543199568514968"/>
    <n v="22347.630189855667"/>
    <n v="57576.460009355666"/>
    <n v="407539.1223523104"/>
    <n v="8168.837115603973"/>
    <n v="65745.297124959645"/>
    <n v="55.053950844338218"/>
  </r>
  <r>
    <s v="046516"/>
    <s v="Colonel Crawford Local"/>
    <s v="Crawford"/>
    <x v="1"/>
    <n v="1"/>
    <x v="1"/>
    <n v="917.07119299999999"/>
    <n v="27053.600193499999"/>
    <n v="1103.2027579322701"/>
    <n v="1.2029630484012708"/>
    <n v="9830.5923803434398"/>
    <n v="36884.192573843437"/>
    <n v="1120099.4690278436"/>
    <n v="22451.611670923252"/>
    <n v="59335.804244766688"/>
    <n v="64.70141543827414"/>
  </r>
  <r>
    <s v="045344"/>
    <s v="Crestline Exempted Village"/>
    <s v="Crawford"/>
    <x v="1"/>
    <n v="1"/>
    <x v="1"/>
    <n v="542.31066399999997"/>
    <n v="15998.164588"/>
    <n v="751.897502884951"/>
    <n v="1.3864700674315913"/>
    <n v="11069.3894510176"/>
    <n v="27067.554039017599"/>
    <n v="409809.70469644951"/>
    <n v="8214.3493531034801"/>
    <n v="35281.903392121079"/>
    <n v="65.05847244803779"/>
  </r>
  <r>
    <s v="044024"/>
    <s v="Galion City"/>
    <s v="Crawford"/>
    <x v="1"/>
    <n v="1"/>
    <x v="6"/>
    <n v="1689.9736310000001"/>
    <n v="49854.2221145"/>
    <n v="2176.6164025348298"/>
    <n v="1.2879587956924932"/>
    <n v="25702.178582876677"/>
    <n v="75556.400697376681"/>
    <n v="752295.18102392764"/>
    <n v="15079.231562278577"/>
    <n v="90635.632259655264"/>
    <n v="53.631388441264534"/>
  </r>
  <r>
    <s v="058842"/>
    <s v="St Bernard"/>
    <s v="Crawford"/>
    <x v="0"/>
    <n v="1"/>
    <x v="0"/>
    <n v="29"/>
    <n v="855.5"/>
    <n v="33.286999999999999"/>
    <n v="1.1478275862068965"/>
    <n v="226.41914363030082"/>
    <n v="1081.9191436303008"/>
    <n v="0"/>
    <n v="0"/>
    <n v="1081.9191436303008"/>
    <n v="37.307556676906927"/>
  </r>
  <r>
    <s v="059071"/>
    <s v="St Joseph"/>
    <s v="Crawford"/>
    <x v="0"/>
    <n v="1"/>
    <x v="0"/>
    <n v="71"/>
    <n v="2094.5"/>
    <n v="77.515000000000001"/>
    <n v="1.0917605633802816"/>
    <n v="344.09160735978776"/>
    <n v="2438.5916073597878"/>
    <n v="0"/>
    <n v="0"/>
    <n v="2438.5916073597878"/>
    <n v="34.346360667039264"/>
  </r>
  <r>
    <s v="059055"/>
    <s v="St Joseph"/>
    <s v="Crawford"/>
    <x v="0"/>
    <n v="1"/>
    <x v="0"/>
    <n v="33"/>
    <n v="973.5"/>
    <n v="39.661799999999999"/>
    <n v="1.2018727272727272"/>
    <n v="351.84489177427992"/>
    <n v="1325.3448917742799"/>
    <n v="0"/>
    <n v="0"/>
    <n v="1325.3448917742799"/>
    <n v="40.161966417402418"/>
  </r>
  <r>
    <s v="046524"/>
    <s v="Wynford Local"/>
    <s v="Crawford"/>
    <x v="1"/>
    <n v="1"/>
    <x v="1"/>
    <n v="1087.623963"/>
    <n v="32084.906908500001"/>
    <n v="1295.9054172738399"/>
    <n v="1.1915013473032865"/>
    <n v="11000.445185620832"/>
    <n v="43085.352094120833"/>
    <n v="1650423.4164569578"/>
    <n v="33081.584862325253"/>
    <n v="76166.936956446094"/>
    <n v="70.030580005201756"/>
  </r>
  <r>
    <s v="056689"/>
    <s v="Academy Of St Bartholomew"/>
    <s v="Cuyahoga"/>
    <x v="0"/>
    <n v="1"/>
    <x v="0"/>
    <n v="112"/>
    <n v="3304"/>
    <n v="115.7122"/>
    <n v="1.0331446428571429"/>
    <n v="196.06091555502726"/>
    <n v="3500.0609155550273"/>
    <n v="0"/>
    <n v="0"/>
    <n v="3500.0609155550273"/>
    <n v="31.250543888884174"/>
  </r>
  <r>
    <s v="000176"/>
    <s v="Al Ihsan Islamic School"/>
    <s v="Cuyahoga"/>
    <x v="0"/>
    <n v="1"/>
    <x v="0"/>
    <n v="198"/>
    <n v="5841"/>
    <n v="218.83679999999998"/>
    <n v="1.1052363636363636"/>
    <n v="1100.5016123153368"/>
    <n v="6941.5016123153364"/>
    <n v="0"/>
    <n v="0"/>
    <n v="6941.5016123153364"/>
    <n v="35.058088951087555"/>
  </r>
  <r>
    <s v="009443"/>
    <s v="Al Ihsan School"/>
    <s v="Cuyahoga"/>
    <x v="0"/>
    <n v="1"/>
    <x v="0"/>
    <n v="111"/>
    <n v="3274.5"/>
    <n v="113"/>
    <n v="1.0180180180180181"/>
    <n v="105.63057785411749"/>
    <n v="3380.1305778541173"/>
    <n v="0"/>
    <n v="0"/>
    <n v="3380.1305778541173"/>
    <n v="30.45162682751457"/>
  </r>
  <r>
    <s v="013994"/>
    <s v="Albert Einstein Academy for Letters, Arts and Sciences-Ohio"/>
    <s v="Cuyahoga"/>
    <x v="4"/>
    <n v="1"/>
    <x v="8"/>
    <n v="329.56440600000002"/>
    <n v="9722.1499770000009"/>
    <n v="542.19829058495202"/>
    <n v="1.6451967527857119"/>
    <n v="11230.320050037102"/>
    <n v="20952.470027037103"/>
    <n v="0"/>
    <n v="0"/>
    <n v="20952.470027037103"/>
    <n v="63.57625291317747"/>
  </r>
  <r>
    <s v="000560"/>
    <s v="Apex Academy"/>
    <s v="Cuyahoga"/>
    <x v="4"/>
    <n v="1"/>
    <x v="8"/>
    <n v="495.74995799999999"/>
    <n v="14624.623760999999"/>
    <n v="656.440652405327"/>
    <n v="1.3241365769421347"/>
    <n v="8486.9254529070495"/>
    <n v="23111.549213907048"/>
    <n v="0"/>
    <n v="0"/>
    <n v="23111.549213907048"/>
    <n v="46.61936696302665"/>
  </r>
  <r>
    <s v="056036"/>
    <s v="Archbishop Lyke-St Henry Campus"/>
    <s v="Cuyahoga"/>
    <x v="0"/>
    <n v="1"/>
    <x v="0"/>
    <n v="162"/>
    <n v="4779"/>
    <n v="180.56180000000001"/>
    <n v="1.1145790123456791"/>
    <n v="980.34683000627933"/>
    <n v="5759.3468300062796"/>
    <n v="0"/>
    <n v="0"/>
    <n v="5759.3468300062796"/>
    <n v="35.551523642014068"/>
  </r>
  <r>
    <s v="056416"/>
    <s v="Assumption"/>
    <s v="Cuyahoga"/>
    <x v="0"/>
    <n v="1"/>
    <x v="0"/>
    <n v="137"/>
    <n v="4041.5"/>
    <n v="142.2244"/>
    <n v="1.0381343065693431"/>
    <n v="275.92819547052591"/>
    <n v="4317.4281954705257"/>
    <n v="0"/>
    <n v="0"/>
    <n v="4317.4281954705257"/>
    <n v="31.514074419492889"/>
  </r>
  <r>
    <s v="043547"/>
    <s v="Bay Village City"/>
    <s v="Cuyahoga"/>
    <x v="1"/>
    <n v="1"/>
    <x v="11"/>
    <n v="2470.9627099999998"/>
    <n v="72893.399944999997"/>
    <n v="2775.1976250042599"/>
    <n v="1.1231240414001473"/>
    <n v="16068.254937649157"/>
    <n v="88961.654882649149"/>
    <n v="964876.3771173578"/>
    <n v="19340.273188673134"/>
    <n v="108301.92807132228"/>
    <n v="43.829851269314496"/>
  </r>
  <r>
    <s v="043554"/>
    <s v="Beachwood City"/>
    <s v="Cuyahoga"/>
    <x v="1"/>
    <n v="1"/>
    <x v="11"/>
    <n v="1546.834106"/>
    <n v="45631.606126999999"/>
    <n v="1899.3473760121101"/>
    <n v="1.2278933911818661"/>
    <n v="18618.090206311866"/>
    <n v="64249.696333311862"/>
    <n v="907777.27315849764"/>
    <n v="18195.761523155918"/>
    <n v="82445.457856467779"/>
    <n v="53.299482818920843"/>
  </r>
  <r>
    <s v="143081"/>
    <s v="Beatrice J. Stone Yavne"/>
    <s v="Cuyahoga"/>
    <x v="0"/>
    <n v="1"/>
    <x v="0"/>
    <n v="198"/>
    <n v="5841"/>
    <n v="214.1114"/>
    <n v="1.081370707070707"/>
    <n v="850.92824601941447"/>
    <n v="6691.9282460194145"/>
    <n v="0"/>
    <n v="0"/>
    <n v="6691.9282460194145"/>
    <n v="33.797617404138457"/>
  </r>
  <r>
    <s v="052654"/>
    <s v="Beaumont School"/>
    <s v="Cuyahoga"/>
    <x v="0"/>
    <n v="1"/>
    <x v="0"/>
    <n v="323"/>
    <n v="9528.5"/>
    <n v="334.06099999999998"/>
    <n v="1.0342445820433437"/>
    <n v="584.18991082219577"/>
    <n v="10112.689910822195"/>
    <n v="0"/>
    <n v="0"/>
    <n v="10112.689910822195"/>
    <n v="31.308637494805559"/>
  </r>
  <r>
    <s v="043562"/>
    <s v="Bedford City"/>
    <s v="Cuyahoga"/>
    <x v="1"/>
    <n v="1"/>
    <x v="9"/>
    <n v="3204.417391"/>
    <n v="94530.313034499995"/>
    <n v="4240.2511618915996"/>
    <n v="1.323251825371085"/>
    <n v="54707.859890044609"/>
    <n v="149238.1729245446"/>
    <n v="1788883.2006865949"/>
    <n v="35856.914548234032"/>
    <n v="185095.08747277863"/>
    <n v="57.762477507655817"/>
  </r>
  <r>
    <s v="011390"/>
    <s v="Bella Academy of Excellence"/>
    <s v="Cuyahoga"/>
    <x v="4"/>
    <n v="1"/>
    <x v="8"/>
    <n v="283.41242299999999"/>
    <n v="8360.6664784999994"/>
    <n v="363.513255018584"/>
    <n v="1.282629925571696"/>
    <n v="4230.548586359313"/>
    <n v="12591.215064859312"/>
    <n v="0"/>
    <n v="0"/>
    <n v="12591.215064859312"/>
    <n v="44.427181178502231"/>
  </r>
  <r>
    <s v="052662"/>
    <s v="Benedictine"/>
    <s v="Cuyahoga"/>
    <x v="0"/>
    <n v="1"/>
    <x v="0"/>
    <n v="296"/>
    <n v="8732"/>
    <n v="334.34640000000002"/>
    <n v="1.1295486486486488"/>
    <n v="2025.2761953125664"/>
    <n v="10757.276195312566"/>
    <n v="0"/>
    <n v="0"/>
    <n v="10757.276195312566"/>
    <n v="36.342149308488402"/>
  </r>
  <r>
    <s v="043612"/>
    <s v="Berea City"/>
    <s v="Cuyahoga"/>
    <x v="1"/>
    <n v="1"/>
    <x v="9"/>
    <n v="5817.1233380000003"/>
    <n v="171605.13847100001"/>
    <n v="7309.7512938786103"/>
    <n v="1.2565921107651457"/>
    <n v="78833.576750333887"/>
    <n v="250438.7152213339"/>
    <n v="4215276.1933351969"/>
    <n v="84492.267691715941"/>
    <n v="334930.98291304987"/>
    <n v="57.576737409903934"/>
  </r>
  <r>
    <s v="060301"/>
    <s v="Bethany Lutheran School"/>
    <s v="Cuyahoga"/>
    <x v="0"/>
    <n v="1"/>
    <x v="0"/>
    <n v="205"/>
    <n v="6047.5"/>
    <n v="219.52359999999999"/>
    <n v="1.0708468292682927"/>
    <n v="767.06813026102975"/>
    <n v="6814.5681302610301"/>
    <n v="0"/>
    <n v="0"/>
    <n v="6814.5681302610301"/>
    <n v="33.24179575737088"/>
  </r>
  <r>
    <s v="094268"/>
    <s v="Bethel Christian Academy"/>
    <s v="Cuyahoga"/>
    <x v="0"/>
    <n v="1"/>
    <x v="0"/>
    <n v="138"/>
    <n v="4071"/>
    <n v="147.18700000000001"/>
    <n v="1.066572463768116"/>
    <n v="485.21405937288932"/>
    <n v="4556.2140593728891"/>
    <n v="0"/>
    <n v="0"/>
    <n v="4556.2140593728891"/>
    <n v="33.016043908499199"/>
  </r>
  <r>
    <s v="097683"/>
    <s v="Birchwood"/>
    <s v="Cuyahoga"/>
    <x v="0"/>
    <n v="1"/>
    <x v="0"/>
    <n v="222"/>
    <n v="6549"/>
    <n v="222"/>
    <n v="1"/>
    <n v="0"/>
    <n v="6549"/>
    <n v="0"/>
    <n v="0"/>
    <n v="6549"/>
    <n v="29.5"/>
  </r>
  <r>
    <s v="043646"/>
    <s v="Brecksville-Broadview Heights City"/>
    <s v="Cuyahoga"/>
    <x v="1"/>
    <n v="1"/>
    <x v="11"/>
    <n v="3725.0114309999999"/>
    <n v="109887.8372145"/>
    <n v="4242.7932733426196"/>
    <n v="1.1390014103134225"/>
    <n v="27346.797604510244"/>
    <n v="137234.63481901024"/>
    <n v="2373639.9830794996"/>
    <n v="47577.955905050985"/>
    <n v="184812.59072406124"/>
    <n v="49.613966063574544"/>
  </r>
  <r>
    <s v="012684"/>
    <s v="Broadway Academy"/>
    <s v="Cuyahoga"/>
    <x v="4"/>
    <n v="1"/>
    <x v="8"/>
    <n v="162.20118299999999"/>
    <n v="4784.9348984999997"/>
    <n v="220.751599139473"/>
    <n v="1.3609740388852345"/>
    <n v="3092.3571452057909"/>
    <n v="7877.292043705791"/>
    <n v="0"/>
    <n v="0"/>
    <n v="7877.292043705791"/>
    <n v="48.564948158890999"/>
  </r>
  <r>
    <s v="043653"/>
    <s v="Brooklyn City"/>
    <s v="Cuyahoga"/>
    <x v="1"/>
    <n v="1"/>
    <x v="9"/>
    <n v="1120.42624"/>
    <n v="33052.574079999999"/>
    <n v="1492.9413604915801"/>
    <n v="1.3324762551897928"/>
    <n v="19674.493718460904"/>
    <n v="52727.067798460906"/>
    <n v="87015.094964343501"/>
    <n v="1744.1568143439467"/>
    <n v="54471.22461280485"/>
    <n v="48.616519917281522"/>
  </r>
  <r>
    <s v="045286"/>
    <s v="Chagrin Falls Exempted Village"/>
    <s v="Cuyahoga"/>
    <x v="1"/>
    <n v="1"/>
    <x v="11"/>
    <n v="1852.4661799999999"/>
    <n v="54647.752309999996"/>
    <n v="2098.53354359982"/>
    <n v="1.1328323109250071"/>
    <n v="12996.118904044115"/>
    <n v="67643.871214044106"/>
    <n v="798234.35316632362"/>
    <n v="16000.050187717219"/>
    <n v="83643.921401761327"/>
    <n v="45.152738713837856"/>
  </r>
  <r>
    <s v="017404"/>
    <s v="Chaviva High School"/>
    <s v="Cuyahoga"/>
    <x v="0"/>
    <n v="1"/>
    <x v="0"/>
    <n v="17"/>
    <n v="501.5"/>
    <n v="17"/>
    <n v="1"/>
    <n v="0"/>
    <n v="501.5"/>
    <n v="0"/>
    <n v="0"/>
    <n v="501.5"/>
    <n v="29.5"/>
  </r>
  <r>
    <s v="133520"/>
    <s v="Citizens Academy"/>
    <s v="Cuyahoga"/>
    <x v="4"/>
    <n v="1"/>
    <x v="8"/>
    <n v="411.63680900000003"/>
    <n v="12143.2858655"/>
    <n v="544.65560961618496"/>
    <n v="1.3231460299659084"/>
    <n v="7025.4263872746278"/>
    <n v="19168.712252774629"/>
    <n v="0"/>
    <n v="0"/>
    <n v="19168.712252774629"/>
    <n v="46.56705093828144"/>
  </r>
  <r>
    <s v="015261"/>
    <s v="Citizens Academy Southeast"/>
    <s v="Cuyahoga"/>
    <x v="4"/>
    <n v="1"/>
    <x v="8"/>
    <n v="408.11469899999997"/>
    <n v="12039.383620499999"/>
    <n v="517.623144082154"/>
    <n v="1.2683276180703162"/>
    <n v="5783.7201669669103"/>
    <n v="17823.103787466909"/>
    <n v="0"/>
    <n v="0"/>
    <n v="17823.103787466909"/>
    <n v="43.671800675493216"/>
  </r>
  <r>
    <s v="012029"/>
    <s v="Citizens Leadership Academy"/>
    <s v="Cuyahoga"/>
    <x v="4"/>
    <n v="1"/>
    <x v="8"/>
    <n v="246.69321500000001"/>
    <n v="7277.4498425000002"/>
    <n v="345.11395063823699"/>
    <n v="1.3989600428947224"/>
    <n v="5198.1195891471543"/>
    <n v="12475.569431647154"/>
    <n v="0"/>
    <n v="0"/>
    <n v="12475.569431647154"/>
    <n v="50.571189935836514"/>
  </r>
  <r>
    <s v="016843"/>
    <s v="Citizens Leadership Academy East"/>
    <s v="Cuyahoga"/>
    <x v="4"/>
    <n v="1"/>
    <x v="8"/>
    <n v="545.50172299999997"/>
    <n v="16092.3008285"/>
    <n v="662.81688625092795"/>
    <n v="1.2150591983573404"/>
    <n v="6196.0342426228253"/>
    <n v="22288.335071122827"/>
    <n v="0"/>
    <n v="0"/>
    <n v="22288.335071122827"/>
    <n v="40.858413697664581"/>
  </r>
  <r>
    <s v="000527"/>
    <s v="Cleveland Academy for Scholarship Technology and Leadership"/>
    <s v="Cuyahoga"/>
    <x v="4"/>
    <n v="1"/>
    <x v="8"/>
    <n v="263.61514699999998"/>
    <n v="7776.6468364999992"/>
    <n v="380.43461894466901"/>
    <n v="1.4431440047133144"/>
    <n v="6169.8541630641284"/>
    <n v="13946.500999564127"/>
    <n v="0"/>
    <n v="0"/>
    <n v="13946.500999564127"/>
    <n v="52.904778645227573"/>
  </r>
  <r>
    <s v="007995"/>
    <s v="Cleveland Arts and Social Sciences Academy"/>
    <s v="Cuyahoga"/>
    <x v="4"/>
    <n v="1"/>
    <x v="8"/>
    <n v="294.63020799999998"/>
    <n v="8691.5911359999991"/>
    <n v="376.44796526079602"/>
    <n v="1.2776964311167851"/>
    <n v="4321.2284890929013"/>
    <n v="13012.8196250929"/>
    <n v="0"/>
    <n v="0"/>
    <n v="13012.8196250929"/>
    <n v="44.166617243446062"/>
  </r>
  <r>
    <s v="053983"/>
    <s v="Cleveland Central Catholic"/>
    <s v="Cuyahoga"/>
    <x v="0"/>
    <n v="1"/>
    <x v="0"/>
    <n v="561"/>
    <n v="16549.5"/>
    <n v="684.8954"/>
    <n v="1.2208474153297684"/>
    <n v="6543.5713477335148"/>
    <n v="23093.071347733516"/>
    <n v="0"/>
    <n v="0"/>
    <n v="23093.071347733516"/>
    <n v="41.164120049435859"/>
  </r>
  <r>
    <s v="133033"/>
    <s v="Cleveland Clinic Lerner School for Autism"/>
    <s v="Cuyahoga"/>
    <x v="0"/>
    <n v="1"/>
    <x v="0"/>
    <n v="74"/>
    <n v="2183"/>
    <n v="74"/>
    <n v="1"/>
    <n v="0"/>
    <n v="2183"/>
    <n v="0"/>
    <n v="0"/>
    <n v="2183"/>
    <n v="29.5"/>
  </r>
  <r>
    <s v="012010"/>
    <s v="Cleveland College Preparatory School"/>
    <s v="Cuyahoga"/>
    <x v="4"/>
    <n v="1"/>
    <x v="8"/>
    <n v="273.86900800000001"/>
    <n v="8079.1357360000002"/>
    <n v="380.27239389853298"/>
    <n v="1.3885192657452243"/>
    <n v="5619.7255690483471"/>
    <n v="13698.861305048347"/>
    <n v="0"/>
    <n v="0"/>
    <n v="13698.861305048347"/>
    <n v="50.019757274062741"/>
  </r>
  <r>
    <s v="043794"/>
    <s v="Cleveland Heights-University Heights City"/>
    <s v="Cuyahoga"/>
    <x v="1"/>
    <n v="1"/>
    <x v="10"/>
    <n v="5148.4322199999997"/>
    <n v="151878.75048999998"/>
    <n v="7585.3680484037504"/>
    <n v="1.4733355173516784"/>
    <n v="128707.46987384536"/>
    <n v="280586.22036384535"/>
    <n v="1584996.7361475499"/>
    <n v="31770.152744158655"/>
    <n v="312356.37310800399"/>
    <n v="60.6701923538199"/>
  </r>
  <r>
    <s v="134478"/>
    <s v="Cleveland Montessori"/>
    <s v="Cuyahoga"/>
    <x v="0"/>
    <n v="1"/>
    <x v="0"/>
    <n v="68"/>
    <n v="2006"/>
    <n v="84.016999999999996"/>
    <n v="1.2355441176470587"/>
    <n v="845.94248274469987"/>
    <n v="2851.9424827447001"/>
    <n v="0"/>
    <n v="0"/>
    <n v="2851.9424827447001"/>
    <n v="41.940330628598531"/>
  </r>
  <r>
    <s v="043786"/>
    <s v="Cleveland Municipal"/>
    <s v="Cuyahoga"/>
    <x v="1"/>
    <n v="1"/>
    <x v="13"/>
    <n v="37701.131987000001"/>
    <n v="1112183.3936165001"/>
    <n v="58249.833608929701"/>
    <n v="1.5450420329292831"/>
    <n v="1085285.6132381377"/>
    <n v="2197469.0068546375"/>
    <n v="19816907.288299099"/>
    <n v="397216.06808878877"/>
    <n v="2594685.0749434261"/>
    <n v="68.822471320970365"/>
  </r>
  <r>
    <s v="013199"/>
    <s v="Cleveland Preparatory Academy"/>
    <s v="Cuyahoga"/>
    <x v="4"/>
    <n v="1"/>
    <x v="8"/>
    <n v="153.87720300000001"/>
    <n v="4539.3774885000003"/>
    <n v="208.20677930469699"/>
    <n v="1.3530709893699913"/>
    <n v="2869.4322698172559"/>
    <n v="7408.8097583172566"/>
    <n v="0"/>
    <n v="0"/>
    <n v="7408.8097583172566"/>
    <n v="48.14754631533858"/>
  </r>
  <r>
    <s v="056440"/>
    <s v="Communion of Saints School"/>
    <s v="Cuyahoga"/>
    <x v="0"/>
    <n v="1"/>
    <x v="0"/>
    <n v="202"/>
    <n v="5959"/>
    <n v="210.58700000000002"/>
    <n v="1.0425099009900991"/>
    <n v="453.52488601665442"/>
    <n v="6412.5248860166548"/>
    <n v="0"/>
    <n v="0"/>
    <n v="6412.5248860166548"/>
    <n v="31.745172703052745"/>
  </r>
  <r>
    <s v="012671"/>
    <s v="Constellation Schools: Eastside Arts Academy"/>
    <s v="Cuyahoga"/>
    <x v="4"/>
    <n v="1"/>
    <x v="8"/>
    <n v="125.94267499999999"/>
    <n v="3715.3089124999997"/>
    <n v="176.23551408316601"/>
    <n v="1.3993311963809409"/>
    <n v="2656.2308271394854"/>
    <n v="6371.5397396394856"/>
    <n v="0"/>
    <n v="0"/>
    <n v="6371.5397396394856"/>
    <n v="50.590792514447436"/>
  </r>
  <r>
    <s v="000319"/>
    <s v="Constellation Schools: Madison Community Elementary"/>
    <s v="Cuyahoga"/>
    <x v="4"/>
    <n v="1"/>
    <x v="8"/>
    <n v="248.12101100000001"/>
    <n v="7319.5698245000003"/>
    <n v="352.00116670489899"/>
    <n v="1.4186673078842926"/>
    <n v="5486.4604373420898"/>
    <n v="12806.03026184209"/>
    <n v="0"/>
    <n v="0"/>
    <n v="12806.03026184209"/>
    <n v="51.612034830222782"/>
  </r>
  <r>
    <s v="134098"/>
    <s v="Constellation Schools: Old Brooklyn Community Elementary"/>
    <s v="Cuyahoga"/>
    <x v="4"/>
    <n v="1"/>
    <x v="8"/>
    <n v="328.76432999999997"/>
    <n v="9698.5477350000001"/>
    <n v="383.94000272479599"/>
    <n v="1.1678274304417271"/>
    <n v="2914.1190967049365"/>
    <n v="12612.666831704937"/>
    <n v="0"/>
    <n v="0"/>
    <n v="12612.666831704937"/>
    <n v="38.36385422866568"/>
  </r>
  <r>
    <s v="000321"/>
    <s v="Constellation Schools: Old Brooklyn Community Middle"/>
    <s v="Cuyahoga"/>
    <x v="4"/>
    <n v="1"/>
    <x v="8"/>
    <n v="267.63694099999998"/>
    <n v="7895.2897594999995"/>
    <n v="317.415687059623"/>
    <n v="1.1859935548270335"/>
    <n v="2629.0788555656768"/>
    <n v="10524.368615065676"/>
    <n v="0"/>
    <n v="0"/>
    <n v="10524.368615065676"/>
    <n v="39.32330333676051"/>
  </r>
  <r>
    <s v="133256"/>
    <s v="Constellation Schools: Parma Community"/>
    <s v="Cuyahoga"/>
    <x v="4"/>
    <n v="1"/>
    <x v="8"/>
    <n v="1411.5328629999999"/>
    <n v="41640.219458499996"/>
    <n v="1693.24881016623"/>
    <n v="1.1995815716025806"/>
    <n v="14878.909144944459"/>
    <n v="56519.128603444457"/>
    <n v="0"/>
    <n v="0"/>
    <n v="56519.128603444457"/>
    <n v="40.040958368706761"/>
  </r>
  <r>
    <s v="143479"/>
    <s v="Constellation Schools: Puritas Community Elementary"/>
    <s v="Cuyahoga"/>
    <x v="4"/>
    <n v="1"/>
    <x v="8"/>
    <n v="201.70700500000001"/>
    <n v="5950.3566475000007"/>
    <n v="284.60721916406902"/>
    <n v="1.4109932332993047"/>
    <n v="4378.3987631903528"/>
    <n v="10328.755410690354"/>
    <n v="0"/>
    <n v="0"/>
    <n v="10328.755410690354"/>
    <n v="51.206726363768837"/>
  </r>
  <r>
    <s v="000534"/>
    <s v="Constellation Schools: Puritas Community Middle"/>
    <s v="Cuyahoga"/>
    <x v="4"/>
    <n v="1"/>
    <x v="8"/>
    <n v="173.28025400000001"/>
    <n v="5111.7674930000003"/>
    <n v="239.74261487643199"/>
    <n v="1.3835541519718222"/>
    <n v="3510.2287924632005"/>
    <n v="8621.9962854632013"/>
    <n v="0"/>
    <n v="0"/>
    <n v="8621.9962854632013"/>
    <n v="49.7575233555648"/>
  </r>
  <r>
    <s v="143487"/>
    <s v="Constellation Schools: Stockyard Community Elementary"/>
    <s v="Cuyahoga"/>
    <x v="4"/>
    <n v="1"/>
    <x v="8"/>
    <n v="254.726111"/>
    <n v="7514.4202745000002"/>
    <n v="367.79650441054002"/>
    <n v="1.4438900785107971"/>
    <n v="5971.8454970738712"/>
    <n v="13486.265771573871"/>
    <n v="0"/>
    <n v="0"/>
    <n v="13486.265771573871"/>
    <n v="52.944182748402547"/>
  </r>
  <r>
    <s v="012025"/>
    <s v="Constellation Schools: Stockyard Community Middle"/>
    <s v="Cuyahoga"/>
    <x v="4"/>
    <n v="1"/>
    <x v="8"/>
    <n v="66.160256000000004"/>
    <n v="1951.7275520000001"/>
    <n v="95.588624814469"/>
    <n v="1.4448043371305728"/>
    <n v="1554.2678015882254"/>
    <n v="3505.9953535882255"/>
    <n v="0"/>
    <n v="0"/>
    <n v="3505.9953535882255"/>
    <n v="52.992469581560044"/>
  </r>
  <r>
    <s v="132993"/>
    <s v="Constellation Schools: Westpark Community Elementary"/>
    <s v="Cuyahoga"/>
    <x v="4"/>
    <n v="1"/>
    <x v="8"/>
    <n v="315.45223299999998"/>
    <n v="9305.8408734999994"/>
    <n v="374.431466675693"/>
    <n v="1.1869672410139289"/>
    <n v="3115.0052672782404"/>
    <n v="12420.84614077824"/>
    <n v="0"/>
    <n v="0"/>
    <n v="12420.84614077824"/>
    <n v="39.374728854045678"/>
  </r>
  <r>
    <s v="000316"/>
    <s v="Constellation Schools: Westpark Community Middle"/>
    <s v="Cuyahoga"/>
    <x v="4"/>
    <n v="1"/>
    <x v="8"/>
    <n v="223.98088999999999"/>
    <n v="6607.4362549999996"/>
    <n v="285.67287420462202"/>
    <n v="1.2754341417458517"/>
    <n v="3258.2799702506568"/>
    <n v="9865.7162252506569"/>
    <n v="0"/>
    <n v="0"/>
    <n v="9865.7162252506569"/>
    <n v="44.047133776683616"/>
  </r>
  <r>
    <s v="009149"/>
    <s v="Constellation Schools: Westside Community School of the Arts"/>
    <s v="Cuyahoga"/>
    <x v="4"/>
    <n v="1"/>
    <x v="8"/>
    <n v="326.422079"/>
    <n v="9629.4513305"/>
    <n v="461.468250487202"/>
    <n v="1.4137164125077519"/>
    <n v="7132.502565589697"/>
    <n v="16761.953896089697"/>
    <n v="0"/>
    <n v="0"/>
    <n v="16761.953896089697"/>
    <n v="51.350551860463142"/>
  </r>
  <r>
    <s v="056655"/>
    <s v="Corpus Christi Academy"/>
    <s v="Cuyahoga"/>
    <x v="0"/>
    <n v="1"/>
    <x v="0"/>
    <n v="156"/>
    <n v="4602"/>
    <n v="167.17400000000001"/>
    <n v="1.0716282051282051"/>
    <n v="590.15803847095481"/>
    <n v="5192.158038470955"/>
    <n v="0"/>
    <n v="0"/>
    <n v="5192.158038470955"/>
    <n v="33.28306434917279"/>
  </r>
  <r>
    <s v="133025"/>
    <s v="Creative Playrooms Strongsvill"/>
    <s v="Cuyahoga"/>
    <x v="0"/>
    <n v="1"/>
    <x v="0"/>
    <n v="13"/>
    <n v="383.5"/>
    <n v="13"/>
    <n v="1"/>
    <n v="0"/>
    <n v="383.5"/>
    <n v="0"/>
    <n v="0"/>
    <n v="383.5"/>
    <n v="29.5"/>
  </r>
  <r>
    <s v="046557"/>
    <s v="Cuyahoga Heights Local"/>
    <s v="Cuyahoga"/>
    <x v="1"/>
    <n v="1"/>
    <x v="10"/>
    <n v="798.89570900000001"/>
    <n v="23567.423415500001"/>
    <n v="899.01724717964703"/>
    <n v="1.1253249166965384"/>
    <n v="5287.9479667796004"/>
    <n v="28855.371382279602"/>
    <n v="447191.54824756645"/>
    <n v="8963.6423026674274"/>
    <n v="37819.013684947029"/>
    <n v="47.339112300760938"/>
  </r>
  <r>
    <s v="050922"/>
    <s v="Cuyahoga Valley Career Center"/>
    <s v="Cuyahoga"/>
    <x v="3"/>
    <n v="1"/>
    <x v="4"/>
    <n v="429.08220399999999"/>
    <n v="12657.925018"/>
    <n v="586.57373680318506"/>
    <n v="1.3670427981748343"/>
    <n v="8317.9608085655709"/>
    <n v="20975.885826565573"/>
    <n v="0"/>
    <n v="0"/>
    <n v="20975.885826565573"/>
    <n v="48.885471434199992"/>
  </r>
  <r>
    <s v="014187"/>
    <s v="East Academy"/>
    <s v="Cuyahoga"/>
    <x v="4"/>
    <n v="1"/>
    <x v="8"/>
    <n v="305.67455799999999"/>
    <n v="9017.3994609999991"/>
    <n v="408.40089541881002"/>
    <n v="1.3360644016006398"/>
    <n v="5425.5211911929782"/>
    <n v="14442.920652192977"/>
    <n v="0"/>
    <n v="0"/>
    <n v="14442.920652192977"/>
    <n v="47.249338468636886"/>
  </r>
  <r>
    <s v="043901"/>
    <s v="East Cleveland City School District"/>
    <s v="Cuyahoga"/>
    <x v="1"/>
    <n v="1"/>
    <x v="9"/>
    <n v="1929.092128"/>
    <n v="56908.217775999998"/>
    <n v="2896.8256603760501"/>
    <n v="1.5016523152677808"/>
    <n v="51111.126116844251"/>
    <n v="108019.34389284425"/>
    <n v="90491.959974047437"/>
    <n v="1813.8481455056733"/>
    <n v="109833.19203834992"/>
    <n v="56.935171962067081"/>
  </r>
  <r>
    <s v="014147"/>
    <s v="East Preparatory Academy"/>
    <s v="Cuyahoga"/>
    <x v="4"/>
    <n v="1"/>
    <x v="8"/>
    <n v="197.75448600000001"/>
    <n v="5833.757337"/>
    <n v="255.92310694448699"/>
    <n v="1.2941456455480205"/>
    <n v="3072.1925216716409"/>
    <n v="8905.94985867164"/>
    <n v="82674.22"/>
    <n v="1657.147006995265"/>
    <n v="10563.096865666905"/>
    <n v="53.415207307443353"/>
  </r>
  <r>
    <s v="110619"/>
    <s v="Eleanor Gerson Sn"/>
    <s v="Cuyahoga"/>
    <x v="0"/>
    <n v="1"/>
    <x v="0"/>
    <n v="39"/>
    <n v="1150.5"/>
    <n v="39"/>
    <n v="1"/>
    <n v="0"/>
    <n v="1150.5"/>
    <n v="0"/>
    <n v="0"/>
    <n v="1150.5"/>
    <n v="29.5"/>
  </r>
  <r>
    <s v="043950"/>
    <s v="Euclid City"/>
    <s v="Cuyahoga"/>
    <x v="1"/>
    <n v="1"/>
    <x v="9"/>
    <n v="5002.180343"/>
    <n v="147564.32011850001"/>
    <n v="7279.2303485578304"/>
    <n v="1.4552114976710728"/>
    <n v="120263.05394489755"/>
    <n v="267827.37406339752"/>
    <n v="1815201.2446849884"/>
    <n v="36384.441361815188"/>
    <n v="304211.81542521273"/>
    <n v="60.815843205438128"/>
  </r>
  <r>
    <s v="015712"/>
    <s v="Euclid Preparatory School"/>
    <s v="Cuyahoga"/>
    <x v="4"/>
    <n v="1"/>
    <x v="8"/>
    <n v="251.151521"/>
    <n v="7408.9698694999997"/>
    <n v="338.94156703838303"/>
    <n v="1.3495501269067887"/>
    <n v="4636.6566464369889"/>
    <n v="12045.626515936989"/>
    <n v="0"/>
    <n v="0"/>
    <n v="12045.626515936989"/>
    <n v="47.961590947072104"/>
  </r>
  <r>
    <s v="043976"/>
    <s v="Fairview Park City"/>
    <s v="Cuyahoga"/>
    <x v="1"/>
    <n v="1"/>
    <x v="10"/>
    <n v="1653.2426129999999"/>
    <n v="48770.657083499995"/>
    <n v="2044.94584482803"/>
    <n v="1.2369302779567479"/>
    <n v="20687.919362660083"/>
    <n v="69458.576446160077"/>
    <n v="558438.75924946938"/>
    <n v="11193.514961258874"/>
    <n v="80652.09140741895"/>
    <n v="48.784183744856662"/>
  </r>
  <r>
    <s v="012043"/>
    <s v="Frederick Douglass High School"/>
    <s v="Cuyahoga"/>
    <x v="4"/>
    <n v="1"/>
    <x v="8"/>
    <n v="71.177173999999994"/>
    <n v="2099.7266329999998"/>
    <n v="95.630147861933395"/>
    <n v="1.3435507830352102"/>
    <n v="1291.4908796438283"/>
    <n v="3391.2175126438278"/>
    <n v="0"/>
    <n v="0"/>
    <n v="3391.2175126438278"/>
    <n v="47.6447338671219"/>
  </r>
  <r>
    <s v="093757"/>
    <s v="Fuchs Mizrachi Of Cleveland"/>
    <s v="Cuyahoga"/>
    <x v="0"/>
    <n v="1"/>
    <x v="0"/>
    <n v="375"/>
    <n v="11062.5"/>
    <n v="395.6472"/>
    <n v="1.0550592000000001"/>
    <n v="1090.4878335347673"/>
    <n v="12152.987833534768"/>
    <n v="0"/>
    <n v="0"/>
    <n v="12152.987833534768"/>
    <n v="32.407967556092714"/>
  </r>
  <r>
    <s v="044040"/>
    <s v="Garfield Heights City Schools"/>
    <s v="Cuyahoga"/>
    <x v="1"/>
    <n v="1"/>
    <x v="9"/>
    <n v="3478.5341779999999"/>
    <n v="102616.75825099999"/>
    <n v="4514.7639271813996"/>
    <n v="1.2978926456249986"/>
    <n v="54728.77359782924"/>
    <n v="157345.53184882924"/>
    <n v="1060703.1464201433"/>
    <n v="21261.053861779415"/>
    <n v="178606.58571060866"/>
    <n v="51.345358869895996"/>
  </r>
  <r>
    <s v="056861"/>
    <s v="Gesu Catholic School"/>
    <s v="Cuyahoga"/>
    <x v="0"/>
    <n v="1"/>
    <x v="0"/>
    <n v="632"/>
    <n v="18644"/>
    <n v="655.59680000000003"/>
    <n v="1.0373367088607595"/>
    <n v="1246.2718097540217"/>
    <n v="19890.27180975402"/>
    <n v="0"/>
    <n v="0"/>
    <n v="19890.27180975402"/>
    <n v="31.471949066066486"/>
  </r>
  <r>
    <s v="052993"/>
    <s v="Gilmour Academy"/>
    <s v="Cuyahoga"/>
    <x v="0"/>
    <n v="1"/>
    <x v="0"/>
    <n v="552"/>
    <n v="16284"/>
    <n v="552"/>
    <n v="1"/>
    <n v="0"/>
    <n v="16284"/>
    <n v="0"/>
    <n v="0"/>
    <n v="16284"/>
    <n v="29.5"/>
  </r>
  <r>
    <s v="015737"/>
    <s v="Global Ambassadors Language Academy"/>
    <s v="Cuyahoga"/>
    <x v="4"/>
    <n v="1"/>
    <x v="8"/>
    <n v="181.40909300000001"/>
    <n v="5351.5682435000008"/>
    <n v="205.22347861882801"/>
    <n v="1.1312744869896241"/>
    <n v="1257.7636570787936"/>
    <n v="6609.3319005787944"/>
    <n v="0"/>
    <n v="0"/>
    <n v="6609.3319005787944"/>
    <n v="36.43329995910841"/>
  </r>
  <r>
    <s v="012558"/>
    <s v="Global Village Academy"/>
    <s v="Cuyahoga"/>
    <x v="4"/>
    <n v="1"/>
    <x v="8"/>
    <n v="189.212345"/>
    <n v="5581.7641775000002"/>
    <n v="227.087272658773"/>
    <n v="1.2001715461999745"/>
    <n v="2000.3752473895452"/>
    <n v="7582.1394248895449"/>
    <n v="0"/>
    <n v="0"/>
    <n v="7582.1394248895449"/>
    <n v="40.072118047527738"/>
  </r>
  <r>
    <s v="134197"/>
    <s v="Green Inspiration Academy"/>
    <s v="Cuyahoga"/>
    <x v="4"/>
    <n v="1"/>
    <x v="8"/>
    <n v="254.17856900000001"/>
    <n v="7498.2677855000002"/>
    <n v="331.640678758185"/>
    <n v="1.3047546851134606"/>
    <n v="4091.183707778077"/>
    <n v="11589.451493278077"/>
    <n v="0"/>
    <n v="0"/>
    <n v="11589.451493278077"/>
    <n v="45.59570674614222"/>
  </r>
  <r>
    <s v="086033"/>
    <s v="Gross Schechter Day School"/>
    <s v="Cuyahoga"/>
    <x v="0"/>
    <n v="1"/>
    <x v="0"/>
    <n v="129"/>
    <n v="3805.5"/>
    <n v="139.3236"/>
    <n v="1.0800279069767442"/>
    <n v="545.24391676738367"/>
    <n v="4350.7439167673838"/>
    <n v="0"/>
    <n v="0"/>
    <n v="4350.7439167673838"/>
    <n v="33.726697029204523"/>
  </r>
  <r>
    <s v="132456"/>
    <s v="Hanna Perkins"/>
    <s v="Cuyahoga"/>
    <x v="0"/>
    <n v="1"/>
    <x v="0"/>
    <n v="4"/>
    <n v="118"/>
    <n v="4"/>
    <n v="1"/>
    <n v="0"/>
    <n v="118"/>
    <n v="0"/>
    <n v="0"/>
    <n v="118"/>
    <n v="29.5"/>
  </r>
  <r>
    <s v="008286"/>
    <s v="Harvard Avenue Performance Academy"/>
    <s v="Cuyahoga"/>
    <x v="4"/>
    <n v="1"/>
    <x v="8"/>
    <n v="338.37804599999998"/>
    <n v="9982.152356999999"/>
    <n v="476.92599950037101"/>
    <n v="1.4094472296242617"/>
    <n v="7317.4501943747964"/>
    <n v="17299.602551374795"/>
    <n v="0"/>
    <n v="0"/>
    <n v="17299.602551374795"/>
    <n v="51.125073732989158"/>
  </r>
  <r>
    <s v="053033"/>
    <s v="Hathaway Brown"/>
    <s v="Cuyahoga"/>
    <x v="0"/>
    <n v="1"/>
    <x v="0"/>
    <n v="690"/>
    <n v="20355"/>
    <n v="690"/>
    <n v="1"/>
    <n v="0"/>
    <n v="20355"/>
    <n v="0"/>
    <n v="0"/>
    <n v="20355"/>
    <n v="29.5"/>
  </r>
  <r>
    <s v="060723"/>
    <s v="Hawken Lower-Middle"/>
    <s v="Cuyahoga"/>
    <x v="0"/>
    <n v="1"/>
    <x v="0"/>
    <n v="510"/>
    <n v="15045"/>
    <n v="510"/>
    <n v="1"/>
    <n v="0"/>
    <n v="15045"/>
    <n v="0"/>
    <n v="0"/>
    <n v="15045"/>
    <n v="29.5"/>
  </r>
  <r>
    <s v="053058"/>
    <s v="Hebrew Academy Of Cleveland"/>
    <s v="Cuyahoga"/>
    <x v="0"/>
    <n v="1"/>
    <x v="0"/>
    <n v="599"/>
    <n v="17670.5"/>
    <n v="668.92560000000003"/>
    <n v="1.1167372287145243"/>
    <n v="3693.1407673979406"/>
    <n v="21363.640767397941"/>
    <n v="0"/>
    <n v="0"/>
    <n v="21363.640767397941"/>
    <n v="35.665510463101739"/>
  </r>
  <r>
    <s v="087809"/>
    <s v="Holy Cross Lutheran School"/>
    <s v="Cuyahoga"/>
    <x v="0"/>
    <n v="1"/>
    <x v="0"/>
    <n v="50"/>
    <n v="1475"/>
    <n v="57.805999999999997"/>
    <n v="1.15612"/>
    <n v="412.27614536462045"/>
    <n v="1887.2761453646203"/>
    <n v="0"/>
    <n v="0"/>
    <n v="1887.2761453646203"/>
    <n v="37.745522907292404"/>
  </r>
  <r>
    <s v="056739"/>
    <s v="Holy Family"/>
    <s v="Cuyahoga"/>
    <x v="0"/>
    <n v="1"/>
    <x v="0"/>
    <n v="199"/>
    <n v="5870.5"/>
    <n v="215.3768"/>
    <n v="1.0822954773869347"/>
    <n v="864.94542370065597"/>
    <n v="6735.4454237006557"/>
    <n v="0"/>
    <n v="0"/>
    <n v="6735.4454237006557"/>
    <n v="33.846459415581187"/>
  </r>
  <r>
    <s v="055749"/>
    <s v="Holy Name"/>
    <s v="Cuyahoga"/>
    <x v="0"/>
    <n v="1"/>
    <x v="0"/>
    <n v="176"/>
    <n v="5192"/>
    <n v="195.6"/>
    <n v="1.1113636363636363"/>
    <n v="1035.179662970351"/>
    <n v="6227.1796629703513"/>
    <n v="0"/>
    <n v="0"/>
    <n v="6227.1796629703513"/>
    <n v="35.38170263051336"/>
  </r>
  <r>
    <s v="053348"/>
    <s v="Holy Name High School"/>
    <s v="Cuyahoga"/>
    <x v="0"/>
    <n v="1"/>
    <x v="0"/>
    <n v="588"/>
    <n v="17346"/>
    <n v="612.29759999999999"/>
    <n v="1.0413224489795918"/>
    <n v="1283.2847642341021"/>
    <n v="18629.2847642341"/>
    <n v="0"/>
    <n v="0"/>
    <n v="18629.2847642341"/>
    <n v="31.682457082030783"/>
  </r>
  <r>
    <s v="142968"/>
    <s v="Hope Academy Northcoast"/>
    <s v="Cuyahoga"/>
    <x v="4"/>
    <n v="1"/>
    <x v="8"/>
    <n v="297.11242800000002"/>
    <n v="8764.8166259999998"/>
    <n v="410.41612314337902"/>
    <n v="1.3813495648972953"/>
    <n v="5984.1673955009455"/>
    <n v="14748.984021500946"/>
    <n v="0"/>
    <n v="0"/>
    <n v="14748.984021500946"/>
    <n v="49.641087452258795"/>
  </r>
  <r>
    <s v="000575"/>
    <s v="Hope Academy Northwest Campus"/>
    <s v="Cuyahoga"/>
    <x v="4"/>
    <n v="1"/>
    <x v="8"/>
    <n v="221.53253799999999"/>
    <n v="6535.209871"/>
    <n v="303.98239346100701"/>
    <n v="1.3721794378621122"/>
    <n v="4354.6129381673181"/>
    <n v="10889.822809167319"/>
    <n v="0"/>
    <n v="0"/>
    <n v="10889.822809167319"/>
    <n v="49.15676454339777"/>
  </r>
  <r>
    <s v="133629"/>
    <s v="Horizon Science Acad Cleveland"/>
    <s v="Cuyahoga"/>
    <x v="4"/>
    <n v="1"/>
    <x v="8"/>
    <n v="412.88935099999998"/>
    <n v="12180.235854499999"/>
    <n v="514.96037919105299"/>
    <n v="1.2472115784624656"/>
    <n v="5390.9108449924242"/>
    <n v="17571.146699492423"/>
    <n v="0"/>
    <n v="0"/>
    <n v="17571.146699492423"/>
    <n v="42.556550942609377"/>
  </r>
  <r>
    <s v="000858"/>
    <s v="Horizon Science Academy-Cleveland Middle School"/>
    <s v="Cuyahoga"/>
    <x v="4"/>
    <n v="1"/>
    <x v="8"/>
    <n v="333.68257799999998"/>
    <n v="9843.6360509999995"/>
    <n v="427.19201152169501"/>
    <n v="1.2802346891532799"/>
    <n v="4938.7277488539157"/>
    <n v="14782.363799853916"/>
    <n v="0"/>
    <n v="0"/>
    <n v="14782.363799853916"/>
    <n v="44.30067607501497"/>
  </r>
  <r>
    <s v="000838"/>
    <s v="Horizon Science Academy-Denison Middle School"/>
    <s v="Cuyahoga"/>
    <x v="4"/>
    <n v="1"/>
    <x v="8"/>
    <n v="325.71231799999998"/>
    <n v="9608.5133809999988"/>
    <n v="425.78784310695897"/>
    <n v="1.3072512753630614"/>
    <n v="5285.5177730511605"/>
    <n v="14894.031154051159"/>
    <n v="0"/>
    <n v="0"/>
    <n v="14894.031154051159"/>
    <n v="45.727564881507369"/>
  </r>
  <r>
    <s v="017535"/>
    <s v="Huber Heights Preparatory Academy dba Parma Academy"/>
    <s v="Cuyahoga"/>
    <x v="4"/>
    <n v="1"/>
    <x v="8"/>
    <n v="41.6"/>
    <n v="1227.2"/>
    <n v="52.157366000000003"/>
    <n v="1.2537828365384616"/>
    <n v="557.59033559870659"/>
    <n v="1784.7903355987066"/>
    <n v="0"/>
    <n v="0"/>
    <n v="1784.7903355987066"/>
    <n v="42.903613836507368"/>
  </r>
  <r>
    <s v="056945"/>
    <s v="Incarnate Word Academy"/>
    <s v="Cuyahoga"/>
    <x v="0"/>
    <n v="1"/>
    <x v="0"/>
    <n v="343"/>
    <n v="10118.5"/>
    <n v="349.26180000000005"/>
    <n v="1.018255976676385"/>
    <n v="330.71877620345913"/>
    <n v="10449.218776203459"/>
    <n v="0"/>
    <n v="0"/>
    <n v="10449.218776203459"/>
    <n v="30.46419468280892"/>
  </r>
  <r>
    <s v="046565"/>
    <s v="Independence Local"/>
    <s v="Cuyahoga"/>
    <x v="1"/>
    <n v="1"/>
    <x v="10"/>
    <n v="1067.079448"/>
    <n v="31478.843715999999"/>
    <n v="1209.35329209567"/>
    <n v="1.1333301324117246"/>
    <n v="7514.234182676124"/>
    <n v="38993.077898676122"/>
    <n v="660115.05827382579"/>
    <n v="13231.545372801525"/>
    <n v="52224.623271477649"/>
    <n v="48.941644756968131"/>
  </r>
  <r>
    <s v="017611"/>
    <s v="Insightful Minds"/>
    <s v="Cuyahoga"/>
    <x v="0"/>
    <n v="1"/>
    <x v="0"/>
    <n v="37"/>
    <n v="1091.5"/>
    <n v="37"/>
    <n v="1"/>
    <n v="0"/>
    <n v="1091.5"/>
    <n v="0"/>
    <n v="0"/>
    <n v="1091.5"/>
    <n v="29.5"/>
  </r>
  <r>
    <s v="133215"/>
    <s v="Intergenerational School, The"/>
    <s v="Cuyahoga"/>
    <x v="4"/>
    <n v="1"/>
    <x v="8"/>
    <n v="243.393945"/>
    <n v="7180.1213774999997"/>
    <n v="293.092674320497"/>
    <n v="1.2041904917581125"/>
    <n v="2624.8527483697349"/>
    <n v="9804.9741258697341"/>
    <n v="0"/>
    <n v="0"/>
    <n v="9804.9741258697341"/>
    <n v="40.284379818362915"/>
  </r>
  <r>
    <s v="133835"/>
    <s v="Invictus High School"/>
    <s v="Cuyahoga"/>
    <x v="4"/>
    <n v="1"/>
    <x v="8"/>
    <n v="412.595707"/>
    <n v="12171.573356500001"/>
    <n v="597.29220648537898"/>
    <n v="1.4476452283721386"/>
    <n v="9754.7989841366489"/>
    <n v="21926.372340636648"/>
    <n v="0"/>
    <n v="0"/>
    <n v="21926.372340636648"/>
    <n v="53.142512073293695"/>
  </r>
  <r>
    <s v="010275"/>
    <s v="Jacob Sapirstein Campus - Hebrew Academy of Cleveland"/>
    <s v="Cuyahoga"/>
    <x v="0"/>
    <n v="1"/>
    <x v="0"/>
    <n v="245"/>
    <n v="7227.5"/>
    <n v="274.76940000000002"/>
    <n v="1.1215077551020409"/>
    <n v="1572.2794621851838"/>
    <n v="8799.7794621851845"/>
    <n v="0"/>
    <n v="0"/>
    <n v="8799.7794621851845"/>
    <n v="35.917467192592589"/>
  </r>
  <r>
    <s v="064402"/>
    <s v="Joseph and Florence Mandel Jewish Day School"/>
    <s v="Cuyahoga"/>
    <x v="0"/>
    <n v="1"/>
    <x v="0"/>
    <n v="243"/>
    <n v="7168.5"/>
    <n v="266.82819999999998"/>
    <n v="1.0980584362139918"/>
    <n v="1258.4932676117403"/>
    <n v="8426.9932676117405"/>
    <n v="0"/>
    <n v="0"/>
    <n v="8426.9932676117405"/>
    <n v="34.678984640377536"/>
  </r>
  <r>
    <s v="056911"/>
    <s v="Julie Billiart"/>
    <s v="Cuyahoga"/>
    <x v="0"/>
    <n v="1"/>
    <x v="0"/>
    <n v="128"/>
    <n v="3776"/>
    <n v="224.62459999999999"/>
    <n v="1.7548796874999999"/>
    <n v="5103.2561664614805"/>
    <n v="8879.2561664614805"/>
    <n v="0"/>
    <n v="0"/>
    <n v="8879.2561664614805"/>
    <n v="69.369188800480316"/>
  </r>
  <r>
    <s v="013132"/>
    <s v="Lake Erie College Preparatory School"/>
    <s v="Cuyahoga"/>
    <x v="4"/>
    <n v="1"/>
    <x v="8"/>
    <n v="247.99403799999999"/>
    <n v="7315.8241209999996"/>
    <n v="334.73413538437399"/>
    <n v="1.3497668657033359"/>
    <n v="4581.2033049169258"/>
    <n v="11897.027425916925"/>
    <n v="0"/>
    <n v="0"/>
    <n v="11897.027425916925"/>
    <n v="47.973038069233446"/>
  </r>
  <r>
    <s v="151183"/>
    <s v="Lake Erie International High School"/>
    <s v="Cuyahoga"/>
    <x v="4"/>
    <n v="1"/>
    <x v="8"/>
    <n v="235.19466800000001"/>
    <n v="6938.242706"/>
    <n v="328.59312570663002"/>
    <n v="1.3971112887075741"/>
    <n v="4932.8665291173411"/>
    <n v="11871.109235117341"/>
    <n v="0"/>
    <n v="0"/>
    <n v="11871.109235117341"/>
    <n v="50.47354744928716"/>
  </r>
  <r>
    <s v="014913"/>
    <s v="Lakeshore Intergenerational School"/>
    <s v="Cuyahoga"/>
    <x v="4"/>
    <n v="1"/>
    <x v="8"/>
    <n v="220.447766"/>
    <n v="6503.2090969999999"/>
    <n v="301.688186307379"/>
    <n v="1.3685245796837833"/>
    <n v="4290.7362710899124"/>
    <n v="10793.945368089913"/>
    <n v="0"/>
    <n v="0"/>
    <n v="10793.945368089913"/>
    <n v="48.963732152721896"/>
  </r>
  <r>
    <s v="056648"/>
    <s v="Lakewood Catholic Academy"/>
    <s v="Cuyahoga"/>
    <x v="0"/>
    <n v="1"/>
    <x v="0"/>
    <n v="423"/>
    <n v="12478.5"/>
    <n v="439.8732"/>
    <n v="1.0398893617021276"/>
    <n v="891.16293312404753"/>
    <n v="13369.662933124047"/>
    <n v="0"/>
    <n v="0"/>
    <n v="13369.662933124047"/>
    <n v="31.606768163413825"/>
  </r>
  <r>
    <s v="044198"/>
    <s v="Lakewood City"/>
    <s v="Cuyahoga"/>
    <x v="1"/>
    <n v="1"/>
    <x v="10"/>
    <n v="4853.7199639999999"/>
    <n v="143184.73893799999"/>
    <n v="6120.3122797159704"/>
    <n v="1.2609529031568107"/>
    <n v="66895.439107331389"/>
    <n v="210080.17804533138"/>
    <n v="47543.543406501471"/>
    <n v="952.97712706613243"/>
    <n v="211033.15517239753"/>
    <n v="43.478642512882629"/>
  </r>
  <r>
    <s v="060335"/>
    <s v="Lakewood Lutheran"/>
    <s v="Cuyahoga"/>
    <x v="0"/>
    <n v="1"/>
    <x v="0"/>
    <n v="25"/>
    <n v="737.5"/>
    <n v="26.4"/>
    <n v="1.056"/>
    <n v="73.941404497882175"/>
    <n v="811.44140449788222"/>
    <n v="0"/>
    <n v="0"/>
    <n v="811.44140449788222"/>
    <n v="32.45765617991529"/>
  </r>
  <r>
    <s v="060764"/>
    <s v="Laurel School"/>
    <s v="Cuyahoga"/>
    <x v="0"/>
    <n v="1"/>
    <x v="0"/>
    <n v="488"/>
    <n v="14396"/>
    <n v="488"/>
    <n v="1"/>
    <n v="0"/>
    <n v="14396"/>
    <n v="0"/>
    <n v="0"/>
    <n v="14396"/>
    <n v="29.5"/>
  </r>
  <r>
    <s v="069914"/>
    <s v="Lawrence School"/>
    <s v="Cuyahoga"/>
    <x v="0"/>
    <n v="1"/>
    <x v="0"/>
    <n v="87"/>
    <n v="2566.5"/>
    <n v="87"/>
    <n v="1"/>
    <n v="0"/>
    <n v="2566.5"/>
    <n v="0"/>
    <n v="0"/>
    <n v="2566.5"/>
    <n v="29.5"/>
  </r>
  <r>
    <s v="012008"/>
    <s v="Le Chaperon Rouge - Independence"/>
    <s v="Cuyahoga"/>
    <x v="0"/>
    <n v="1"/>
    <x v="0"/>
    <n v="14"/>
    <n v="413"/>
    <n v="14"/>
    <n v="1"/>
    <n v="0"/>
    <n v="413"/>
    <n v="0"/>
    <n v="0"/>
    <n v="413"/>
    <n v="29.5"/>
  </r>
  <r>
    <s v="014785"/>
    <s v="Le Chaperon Rouge - Rocky River"/>
    <s v="Cuyahoga"/>
    <x v="0"/>
    <n v="1"/>
    <x v="0"/>
    <n v="7"/>
    <n v="206.5"/>
    <n v="7"/>
    <n v="1"/>
    <n v="0"/>
    <n v="206.5"/>
    <n v="0"/>
    <n v="0"/>
    <n v="206.5"/>
    <n v="29.5"/>
  </r>
  <r>
    <s v="015374"/>
    <s v="Le Chaperon Rouge - Solon"/>
    <s v="Cuyahoga"/>
    <x v="0"/>
    <n v="1"/>
    <x v="0"/>
    <n v="11"/>
    <n v="324.5"/>
    <n v="11"/>
    <n v="1"/>
    <n v="0"/>
    <n v="324.5"/>
    <n v="0"/>
    <n v="0"/>
    <n v="324.5"/>
    <n v="29.5"/>
  </r>
  <r>
    <s v="116624"/>
    <s v="Le Chaperon Rouge-Strongsville"/>
    <s v="Cuyahoga"/>
    <x v="0"/>
    <n v="1"/>
    <x v="0"/>
    <n v="15"/>
    <n v="442.5"/>
    <n v="15"/>
    <n v="1"/>
    <n v="0"/>
    <n v="442.5"/>
    <n v="0"/>
    <n v="0"/>
    <n v="442.5"/>
    <n v="29.5"/>
  </r>
  <r>
    <s v="112516"/>
    <s v="Le Chaperon Rouge-Westlake"/>
    <s v="Cuyahoga"/>
    <x v="0"/>
    <n v="1"/>
    <x v="0"/>
    <n v="15"/>
    <n v="442.5"/>
    <n v="15"/>
    <n v="1"/>
    <n v="0"/>
    <n v="442.5"/>
    <n v="0"/>
    <n v="0"/>
    <n v="442.5"/>
    <n v="29.5"/>
  </r>
  <r>
    <s v="014065"/>
    <s v="Lincoln Park Academy"/>
    <s v="Cuyahoga"/>
    <x v="4"/>
    <n v="1"/>
    <x v="8"/>
    <n v="425.61538200000001"/>
    <n v="12555.653769"/>
    <n v="609.15622608433603"/>
    <n v="1.4312363975706499"/>
    <n v="9693.7627102304486"/>
    <n v="22249.416479230451"/>
    <n v="0"/>
    <n v="0"/>
    <n v="22249.416479230451"/>
    <n v="52.275874933557851"/>
  </r>
  <r>
    <s v="060343"/>
    <s v="Luther Memorial"/>
    <s v="Cuyahoga"/>
    <x v="0"/>
    <n v="1"/>
    <x v="0"/>
    <n v="226"/>
    <n v="6667"/>
    <n v="260.54540000000003"/>
    <n v="1.1528557522123895"/>
    <n v="1824.5252821008169"/>
    <n v="8491.5252821008162"/>
    <n v="0"/>
    <n v="0"/>
    <n v="8491.5252821008162"/>
    <n v="37.573120717260245"/>
  </r>
  <r>
    <s v="053199"/>
    <s v="Lutheran East"/>
    <s v="Cuyahoga"/>
    <x v="0"/>
    <n v="1"/>
    <x v="0"/>
    <n v="334"/>
    <n v="9853"/>
    <n v="360.63659999999999"/>
    <n v="1.0797502994011976"/>
    <n v="1406.8197250344924"/>
    <n v="11259.819725034493"/>
    <n v="0"/>
    <n v="0"/>
    <n v="11259.819725034493"/>
    <n v="33.712035104893694"/>
  </r>
  <r>
    <s v="053207"/>
    <s v="Lutheran West"/>
    <s v="Cuyahoga"/>
    <x v="0"/>
    <n v="1"/>
    <x v="0"/>
    <n v="500"/>
    <n v="14750"/>
    <n v="500"/>
    <n v="1"/>
    <n v="0"/>
    <n v="14750"/>
    <n v="0"/>
    <n v="0"/>
    <n v="14750"/>
    <n v="29.5"/>
  </r>
  <r>
    <s v="053215"/>
    <s v="Magnificat"/>
    <s v="Cuyahoga"/>
    <x v="0"/>
    <n v="1"/>
    <x v="0"/>
    <n v="701"/>
    <n v="20679.5"/>
    <n v="727.39739999999995"/>
    <n v="1.0376567760342368"/>
    <n v="1394.186307923138"/>
    <n v="22073.686307923137"/>
    <n v="0"/>
    <n v="0"/>
    <n v="22073.686307923137"/>
    <n v="31.488853506309752"/>
  </r>
  <r>
    <s v="044305"/>
    <s v="Maple Heights City"/>
    <s v="Cuyahoga"/>
    <x v="1"/>
    <n v="1"/>
    <x v="9"/>
    <n v="3560.1277839999998"/>
    <n v="105023.76962799999"/>
    <n v="5158.5553265130902"/>
    <n v="1.4489803848324705"/>
    <n v="84421.412486797359"/>
    <n v="189445.18211479735"/>
    <n v="973688.05514299159"/>
    <n v="19516.897121342652"/>
    <n v="208962.07923614001"/>
    <n v="58.695106444005106"/>
  </r>
  <r>
    <s v="055822"/>
    <s v="Mary Queen of Peace School"/>
    <s v="Cuyahoga"/>
    <x v="0"/>
    <n v="1"/>
    <x v="0"/>
    <n v="313"/>
    <n v="9233.5"/>
    <n v="370.68439999999998"/>
    <n v="1.1842952076677316"/>
    <n v="3046.6182525840263"/>
    <n v="12280.118252584027"/>
    <n v="0"/>
    <n v="0"/>
    <n v="12280.118252584027"/>
    <n v="39.233604640843538"/>
  </r>
  <r>
    <s v="044370"/>
    <s v="Mayfield City"/>
    <s v="Cuyahoga"/>
    <x v="1"/>
    <n v="1"/>
    <x v="10"/>
    <n v="4195.0340990000004"/>
    <n v="123753.50592050001"/>
    <n v="5474.4375093031604"/>
    <n v="1.3049804554885835"/>
    <n v="67572.060769425676"/>
    <n v="191325.56668992568"/>
    <n v="2027972.4820631684"/>
    <n v="40649.292233053282"/>
    <n v="231974.85892297895"/>
    <n v="55.297490663610198"/>
  </r>
  <r>
    <s v="000318"/>
    <s v="Menlo Park Academy"/>
    <s v="Cuyahoga"/>
    <x v="4"/>
    <n v="1"/>
    <x v="8"/>
    <n v="501.95416699999998"/>
    <n v="14807.6479265"/>
    <n v="563.79371773847799"/>
    <n v="1.1231976040921641"/>
    <n v="3266.0737393722252"/>
    <n v="18073.721665872225"/>
    <n v="0"/>
    <n v="0"/>
    <n v="18073.721665872225"/>
    <n v="36.006717055249041"/>
  </r>
  <r>
    <s v="060574"/>
    <s v="Messiah Lutheran"/>
    <s v="Cuyahoga"/>
    <x v="0"/>
    <n v="1"/>
    <x v="0"/>
    <n v="108"/>
    <n v="3186"/>
    <n v="114.1122"/>
    <n v="1.0565944444444444"/>
    <n v="322.81760897996855"/>
    <n v="3508.8176089799686"/>
    <n v="0"/>
    <n v="0"/>
    <n v="3508.8176089799686"/>
    <n v="32.489051934999708"/>
  </r>
  <r>
    <s v="056275"/>
    <s v="Metro Catholic Parish"/>
    <s v="Cuyahoga"/>
    <x v="0"/>
    <n v="1"/>
    <x v="0"/>
    <n v="468"/>
    <n v="13806"/>
    <n v="573.51740000000007"/>
    <n v="1.2254645299145301"/>
    <n v="5572.9319678320326"/>
    <n v="19378.931967832032"/>
    <n v="0"/>
    <n v="0"/>
    <n v="19378.931967832032"/>
    <n v="41.40797429023938"/>
  </r>
  <r>
    <s v="133082"/>
    <s v="Monarch School of Bellefaire JCB"/>
    <s v="Cuyahoga"/>
    <x v="0"/>
    <n v="1"/>
    <x v="0"/>
    <n v="109"/>
    <n v="3215.5"/>
    <n v="120.7984"/>
    <n v="1.1082422018348623"/>
    <n v="623.13590487701003"/>
    <n v="3838.63590487701"/>
    <n v="0"/>
    <n v="0"/>
    <n v="3838.63590487701"/>
    <n v="35.216843164009269"/>
  </r>
  <r>
    <s v="091314"/>
    <s v="Montessori Children's School"/>
    <s v="Cuyahoga"/>
    <x v="0"/>
    <n v="1"/>
    <x v="0"/>
    <n v="13"/>
    <n v="383.5"/>
    <n v="13"/>
    <n v="1"/>
    <n v="0"/>
    <n v="383.5"/>
    <n v="0"/>
    <n v="0"/>
    <n v="383.5"/>
    <n v="29.5"/>
  </r>
  <r>
    <s v="012030"/>
    <s v="Near West Intergenerational School"/>
    <s v="Cuyahoga"/>
    <x v="4"/>
    <n v="1"/>
    <x v="8"/>
    <n v="253.06172599999999"/>
    <n v="7465.320917"/>
    <n v="361.85715796657797"/>
    <n v="1.4299165807735699"/>
    <n v="5746.0621732589789"/>
    <n v="13211.38309025898"/>
    <n v="0"/>
    <n v="0"/>
    <n v="13211.38309025898"/>
    <n v="52.206168428089278"/>
  </r>
  <r>
    <s v="008278"/>
    <s v="Noble Academy-Cleveland"/>
    <s v="Cuyahoga"/>
    <x v="4"/>
    <n v="1"/>
    <x v="8"/>
    <n v="433.95000099999999"/>
    <n v="12801.525029499999"/>
    <n v="526.90402316882205"/>
    <n v="1.2142044520212412"/>
    <n v="4909.3935377785619"/>
    <n v="17710.918567278561"/>
    <n v="0"/>
    <n v="0"/>
    <n v="17710.918567278561"/>
    <n v="40.813270022964147"/>
  </r>
  <r>
    <s v="044529"/>
    <s v="North Olmsted City"/>
    <s v="Cuyahoga"/>
    <x v="1"/>
    <n v="1"/>
    <x v="10"/>
    <n v="3714.384939"/>
    <n v="109574.3557005"/>
    <n v="4614.3087027624997"/>
    <n v="1.2422806947964797"/>
    <n v="47529.733595442587"/>
    <n v="157104.0892959426"/>
    <n v="1665403.0686988647"/>
    <n v="33381.84153095189"/>
    <n v="190485.93082689447"/>
    <n v="51.28330368423736"/>
  </r>
  <r>
    <s v="044545"/>
    <s v="North Royalton City"/>
    <s v="Cuyahoga"/>
    <x v="1"/>
    <n v="1"/>
    <x v="10"/>
    <n v="3929.9510329999998"/>
    <n v="115933.55547349999"/>
    <n v="4556.5750831749901"/>
    <n v="1.1594483098932267"/>
    <n v="33095.33025863587"/>
    <n v="149028.88573213585"/>
    <n v="2850570.8781866352"/>
    <n v="57137.702647994098"/>
    <n v="206166.58838012995"/>
    <n v="52.460345345002665"/>
  </r>
  <r>
    <s v="011923"/>
    <s v="Northeast Ohio College Preparatory School"/>
    <s v="Cuyahoga"/>
    <x v="4"/>
    <n v="1"/>
    <x v="8"/>
    <n v="436.77476899999999"/>
    <n v="12884.855685500001"/>
    <n v="613.671940069485"/>
    <n v="1.4050077605775919"/>
    <n v="9342.8752004141879"/>
    <n v="22227.730885914189"/>
    <n v="0"/>
    <n v="0"/>
    <n v="22227.730885914189"/>
    <n v="50.890601892606547"/>
  </r>
  <r>
    <s v="013253"/>
    <s v="Ohio College Preparatory School"/>
    <s v="Cuyahoga"/>
    <x v="4"/>
    <n v="1"/>
    <x v="8"/>
    <n v="297.01183600000002"/>
    <n v="8761.8491620000004"/>
    <n v="408.872864718313"/>
    <n v="1.37662145126874"/>
    <n v="5907.972551435716"/>
    <n v="14669.821713435716"/>
    <n v="0"/>
    <n v="0"/>
    <n v="14669.821713435716"/>
    <n v="49.391370764886673"/>
  </r>
  <r>
    <s v="000236"/>
    <s v="Ohio Connections Academy, Inc"/>
    <s v="Cuyahoga"/>
    <x v="4"/>
    <n v="1"/>
    <x v="5"/>
    <n v="4362.2184969999998"/>
    <n v="25737.0891323"/>
    <n v="5339.6462558406101"/>
    <n v="1.2240666668835618"/>
    <n v="0"/>
    <n v="25737.0891323"/>
    <n v="0"/>
    <n v="0"/>
    <n v="25737.0891323"/>
    <n v="5.9"/>
  </r>
  <r>
    <s v="012038"/>
    <s v="Old Brook High School"/>
    <s v="Cuyahoga"/>
    <x v="4"/>
    <n v="1"/>
    <x v="8"/>
    <n v="158.42927299999999"/>
    <n v="4673.6635534999996"/>
    <n v="212.31261139133599"/>
    <n v="1.340109737114908"/>
    <n v="2845.8640854928876"/>
    <n v="7519.5276389928877"/>
    <n v="0"/>
    <n v="0"/>
    <n v="7519.5276389928877"/>
    <n v="47.462994032629865"/>
  </r>
  <r>
    <s v="046573"/>
    <s v="Olmsted Falls City"/>
    <s v="Cuyahoga"/>
    <x v="1"/>
    <n v="1"/>
    <x v="10"/>
    <n v="3552.5762540000001"/>
    <n v="104800.999493"/>
    <n v="4243.8290744441601"/>
    <n v="1.194577898128393"/>
    <n v="36508.717433402577"/>
    <n v="141309.71692640259"/>
    <n v="2510220.642837957"/>
    <n v="50315.61985316161"/>
    <n v="191625.33677956421"/>
    <n v="53.939823688176972"/>
  </r>
  <r>
    <s v="046581"/>
    <s v="Orange City "/>
    <s v="Cuyahoga"/>
    <x v="1"/>
    <n v="1"/>
    <x v="11"/>
    <n v="1994.9324220000001"/>
    <n v="58850.506449"/>
    <n v="2432.5443846355502"/>
    <n v="1.2193617978281321"/>
    <n v="23112.602244533817"/>
    <n v="81963.10869353381"/>
    <n v="1787039.2492943744"/>
    <n v="35819.953830241611"/>
    <n v="117783.06252377541"/>
    <n v="59.041129025159236"/>
  </r>
  <r>
    <s v="016837"/>
    <s v="Orchard Park Academy"/>
    <s v="Cuyahoga"/>
    <x v="4"/>
    <n v="1"/>
    <x v="8"/>
    <n v="159.36970099999999"/>
    <n v="4701.4061794999998"/>
    <n v="246.09078208763501"/>
    <n v="1.5441503657438311"/>
    <n v="4580.1989537103336"/>
    <n v="9281.6051332103343"/>
    <n v="0"/>
    <n v="0"/>
    <n v="9281.6051332103343"/>
    <n v="58.239458786525141"/>
  </r>
  <r>
    <s v="055814"/>
    <s v="Our Lady Of Angels"/>
    <s v="Cuyahoga"/>
    <x v="0"/>
    <n v="1"/>
    <x v="0"/>
    <n v="351"/>
    <n v="10354.5"/>
    <n v="385.4572"/>
    <n v="1.0981686609686609"/>
    <n v="1819.8669736174488"/>
    <n v="12174.366973617449"/>
    <n v="0"/>
    <n v="0"/>
    <n v="12174.366973617449"/>
    <n v="34.684806192642306"/>
  </r>
  <r>
    <s v="055855"/>
    <s v="Our Lady Of Mt Carmel West"/>
    <s v="Cuyahoga"/>
    <x v="0"/>
    <n v="1"/>
    <x v="0"/>
    <n v="178"/>
    <n v="5251"/>
    <n v="202.24860000000001"/>
    <n v="1.1362280898876405"/>
    <n v="1280.6968150766772"/>
    <n v="6531.696815076677"/>
    <n v="0"/>
    <n v="0"/>
    <n v="6531.696815076677"/>
    <n v="36.694925927397065"/>
  </r>
  <r>
    <s v="056481"/>
    <s v="Our Lady of the Lake School"/>
    <s v="Cuyahoga"/>
    <x v="0"/>
    <n v="1"/>
    <x v="0"/>
    <n v="333"/>
    <n v="9823.5"/>
    <n v="359.97319999999996"/>
    <n v="1.0810006006006005"/>
    <n v="1424.5973512873391"/>
    <n v="11248.097351287339"/>
    <n v="0"/>
    <n v="0"/>
    <n v="11248.097351287339"/>
    <n v="33.778070123986005"/>
  </r>
  <r>
    <s v="053439"/>
    <s v="Padua Franciscan"/>
    <s v="Cuyahoga"/>
    <x v="0"/>
    <n v="1"/>
    <x v="0"/>
    <n v="742"/>
    <n v="21889"/>
    <n v="777.48380000000009"/>
    <n v="1.0478218328840971"/>
    <n v="1874.0871492299721"/>
    <n v="23763.08714922997"/>
    <n v="0"/>
    <n v="0"/>
    <n v="23763.08714922997"/>
    <n v="32.025723920795109"/>
  </r>
  <r>
    <s v="044636"/>
    <s v="Parma City"/>
    <s v="Cuyahoga"/>
    <x v="1"/>
    <n v="1"/>
    <x v="9"/>
    <n v="9805.0293380000003"/>
    <n v="289248.36547100003"/>
    <n v="12462.7978223187"/>
    <n v="1.2710617574613829"/>
    <n v="140370.81040052316"/>
    <n v="429619.17587152321"/>
    <n v="2514723.9514987543"/>
    <n v="50405.885530525316"/>
    <n v="480025.06140204851"/>
    <n v="48.957024487594502"/>
  </r>
  <r>
    <s v="085688"/>
    <s v="Parma Heights Christian Acad"/>
    <s v="Cuyahoga"/>
    <x v="0"/>
    <n v="1"/>
    <x v="0"/>
    <n v="164"/>
    <n v="4838"/>
    <n v="179.9238"/>
    <n v="1.0970963414634147"/>
    <n v="841.02009781669824"/>
    <n v="5679.0200978166986"/>
    <n v="0"/>
    <n v="0"/>
    <n v="5679.0200978166986"/>
    <n v="34.6281713281506"/>
  </r>
  <r>
    <s v="000543"/>
    <s v="Pinnacle Academy"/>
    <s v="Cuyahoga"/>
    <x v="4"/>
    <n v="1"/>
    <x v="8"/>
    <n v="717.32872699999996"/>
    <n v="21161.197446499998"/>
    <n v="895.06485805408602"/>
    <n v="1.2477750079763446"/>
    <n v="9387.1851143991335"/>
    <n v="30548.382560899132"/>
    <n v="0"/>
    <n v="0"/>
    <n v="30548.382560899132"/>
    <n v="42.586308635174923"/>
  </r>
  <r>
    <s v="050948"/>
    <s v="Polaris"/>
    <s v="Cuyahoga"/>
    <x v="3"/>
    <n v="1"/>
    <x v="4"/>
    <n v="608.247749"/>
    <n v="17943.308595499999"/>
    <n v="761.67120897738801"/>
    <n v="1.2522384344695503"/>
    <n v="8103.1043668947814"/>
    <n v="26046.412962394781"/>
    <n v="0"/>
    <n v="0"/>
    <n v="26046.412962394781"/>
    <n v="42.822045795018276"/>
  </r>
  <r>
    <s v="000936"/>
    <s v="Promise Academy"/>
    <s v="Cuyahoga"/>
    <x v="4"/>
    <n v="1"/>
    <x v="8"/>
    <n v="201.508104"/>
    <n v="5944.4890679999999"/>
    <n v="279.66748887254801"/>
    <n v="1.3878721665335505"/>
    <n v="4128.0104944048071"/>
    <n v="10072.499562404806"/>
    <n v="0"/>
    <n v="0"/>
    <n v="10072.499562404806"/>
    <n v="49.985580542233706"/>
  </r>
  <r>
    <s v="068189"/>
    <s v="Ramah Junior Academy"/>
    <s v="Cuyahoga"/>
    <x v="0"/>
    <n v="1"/>
    <x v="0"/>
    <n v="155"/>
    <n v="4572.5"/>
    <n v="182.8048"/>
    <n v="1.179385806451613"/>
    <n v="1468.5185455590831"/>
    <n v="6041.0185455590836"/>
    <n v="0"/>
    <n v="0"/>
    <n v="6041.0185455590836"/>
    <n v="38.974313197155375"/>
  </r>
  <r>
    <s v="151209"/>
    <s v="Randall Park High School"/>
    <s v="Cuyahoga"/>
    <x v="4"/>
    <n v="1"/>
    <x v="8"/>
    <n v="44.650000000000006"/>
    <n v="1317.1750000000002"/>
    <n v="51.969784000000011"/>
    <n v="1.1639369316909296"/>
    <n v="386.59650684366204"/>
    <n v="1703.7715068436623"/>
    <n v="0"/>
    <n v="0"/>
    <n v="1703.7715068436623"/>
    <n v="38.158376413071942"/>
  </r>
  <r>
    <s v="065730"/>
    <s v="Ratner School, The"/>
    <s v="Cuyahoga"/>
    <x v="0"/>
    <n v="1"/>
    <x v="0"/>
    <n v="134"/>
    <n v="3953"/>
    <n v="158.2406"/>
    <n v="1.1809000000000001"/>
    <n v="1280.2742927652605"/>
    <n v="5233.2742927652607"/>
    <n v="0"/>
    <n v="0"/>
    <n v="5233.2742927652607"/>
    <n v="39.054285766904933"/>
  </r>
  <r>
    <s v="012036"/>
    <s v="Regent High School"/>
    <s v="Cuyahoga"/>
    <x v="4"/>
    <n v="1"/>
    <x v="8"/>
    <n v="195.409761"/>
    <n v="5764.5879494999999"/>
    <n v="263.78513658876"/>
    <n v="1.3499076772769811"/>
    <n v="3611.265217216519"/>
    <n v="9375.8531667165189"/>
    <n v="0"/>
    <n v="0"/>
    <n v="9375.8531667165189"/>
    <n v="47.980475073179782"/>
  </r>
  <r>
    <s v="046599"/>
    <s v="Richmond Heights Local"/>
    <s v="Cuyahoga"/>
    <x v="1"/>
    <n v="1"/>
    <x v="10"/>
    <n v="774.35419100000001"/>
    <n v="22843.4486345"/>
    <n v="1020.96961827562"/>
    <n v="1.3184788435859578"/>
    <n v="13025.065045431913"/>
    <n v="35868.513679931915"/>
    <n v="561743.07572516357"/>
    <n v="11259.747677550142"/>
    <n v="47128.261357482057"/>
    <n v="60.861375718288137"/>
  </r>
  <r>
    <s v="044701"/>
    <s v="Rocky River City"/>
    <s v="Cuyahoga"/>
    <x v="1"/>
    <n v="1"/>
    <x v="11"/>
    <n v="2707.375927"/>
    <n v="79867.589846500006"/>
    <n v="3120.4831172887798"/>
    <n v="1.152585825325904"/>
    <n v="21818.37561294734"/>
    <n v="101685.96545944735"/>
    <n v="947253.05696180172"/>
    <n v="18987.026042838566"/>
    <n v="120672.99150228592"/>
    <n v="44.571937830592198"/>
  </r>
  <r>
    <s v="118216"/>
    <s v="Royal Redeemer Lutheran"/>
    <s v="Cuyahoga"/>
    <x v="0"/>
    <n v="1"/>
    <x v="0"/>
    <n v="219"/>
    <n v="6460.5"/>
    <n v="219"/>
    <n v="1"/>
    <n v="0"/>
    <n v="6460.5"/>
    <n v="0"/>
    <n v="0"/>
    <n v="6460.5"/>
    <n v="29.5"/>
  </r>
  <r>
    <s v="070748"/>
    <s v="Ruffing Montessori Ingalls"/>
    <s v="Cuyahoga"/>
    <x v="0"/>
    <n v="1"/>
    <x v="0"/>
    <n v="278"/>
    <n v="8201"/>
    <n v="278"/>
    <n v="1"/>
    <n v="0"/>
    <n v="8201"/>
    <n v="0"/>
    <n v="0"/>
    <n v="8201"/>
    <n v="29.5"/>
  </r>
  <r>
    <s v="070771"/>
    <s v="Ruffing Montessori Rocky River"/>
    <s v="Cuyahoga"/>
    <x v="0"/>
    <n v="1"/>
    <x v="0"/>
    <n v="246"/>
    <n v="7257"/>
    <n v="246"/>
    <n v="1"/>
    <n v="0"/>
    <n v="7257"/>
    <n v="0"/>
    <n v="0"/>
    <n v="7257"/>
    <n v="29.5"/>
  </r>
  <r>
    <s v="125997"/>
    <s v="Safely Home"/>
    <s v="Cuyahoga"/>
    <x v="0"/>
    <n v="1"/>
    <x v="0"/>
    <n v="18"/>
    <n v="531"/>
    <n v="19.899999999999999"/>
    <n v="1.1055555555555554"/>
    <n v="100.34904896141155"/>
    <n v="631.34904896141154"/>
    <n v="0"/>
    <n v="0"/>
    <n v="631.34904896141154"/>
    <n v="35.074947164522861"/>
  </r>
  <r>
    <s v="056754"/>
    <s v="Saint Bridget of Kildare School"/>
    <s v="Cuyahoga"/>
    <x v="0"/>
    <n v="1"/>
    <x v="0"/>
    <n v="177"/>
    <n v="5221.5"/>
    <n v="193.63579999999999"/>
    <n v="1.0939875706214688"/>
    <n v="878.62458353276338"/>
    <n v="6100.1245835327636"/>
    <n v="0"/>
    <n v="0"/>
    <n v="6100.1245835327636"/>
    <n v="34.463980697925216"/>
  </r>
  <r>
    <s v="000476"/>
    <s v="Saint Martin de Porres High School"/>
    <s v="Cuyahoga"/>
    <x v="0"/>
    <n v="1"/>
    <x v="0"/>
    <n v="382"/>
    <n v="11269"/>
    <n v="430.92019999999997"/>
    <n v="1.1280633507853401"/>
    <n v="2583.7344973694976"/>
    <n v="13852.734497369498"/>
    <n v="0"/>
    <n v="0"/>
    <n v="13852.734497369498"/>
    <n v="36.263702872695021"/>
  </r>
  <r>
    <s v="044750"/>
    <s v="Shaker Heights City"/>
    <s v="Cuyahoga"/>
    <x v="1"/>
    <n v="1"/>
    <x v="11"/>
    <n v="4844.6653809999998"/>
    <n v="142917.62873949998"/>
    <n v="5996.35014946711"/>
    <n v="1.2377222528069396"/>
    <n v="60826.563799483185"/>
    <n v="203744.19253898316"/>
    <n v="1815201.2385337234"/>
    <n v="36384.441238517378"/>
    <n v="240128.63377750054"/>
    <n v="49.565576751543361"/>
  </r>
  <r>
    <s v="016812"/>
    <s v="SMART Academy"/>
    <s v="Cuyahoga"/>
    <x v="4"/>
    <n v="1"/>
    <x v="8"/>
    <n v="40.644970000000001"/>
    <n v="1199.026615"/>
    <n v="56.856577305954303"/>
    <n v="1.3988588823156789"/>
    <n v="856.220723835993"/>
    <n v="2055.2473388359931"/>
    <n v="0"/>
    <n v="0"/>
    <n v="2055.2473388359931"/>
    <n v="50.565847110626308"/>
  </r>
  <r>
    <s v="046607"/>
    <s v="Solon City"/>
    <s v="Cuyahoga"/>
    <x v="1"/>
    <n v="1"/>
    <x v="11"/>
    <n v="4518.6160069999996"/>
    <n v="133299.17220649999"/>
    <n v="5275.0699674213402"/>
    <n v="1.1674083301722213"/>
    <n v="39952.334479670964"/>
    <n v="173251.50668617096"/>
    <n v="2351838.4263133067"/>
    <n v="47140.958924094484"/>
    <n v="220392.46561026544"/>
    <n v="48.774329411670557"/>
  </r>
  <r>
    <s v="114777"/>
    <s v="Solon Creative Playrooms"/>
    <s v="Cuyahoga"/>
    <x v="0"/>
    <n v="1"/>
    <x v="0"/>
    <n v="17"/>
    <n v="501.5"/>
    <n v="17"/>
    <n v="1"/>
    <n v="0"/>
    <n v="501.5"/>
    <n v="0"/>
    <n v="0"/>
    <n v="501.5"/>
    <n v="29.5"/>
  </r>
  <r>
    <s v="044792"/>
    <s v="South Euclid-Lyndhurst City"/>
    <s v="Cuyahoga"/>
    <x v="1"/>
    <n v="1"/>
    <x v="10"/>
    <n v="3295.4920900000002"/>
    <n v="97217.016654999999"/>
    <n v="4332.1304863677196"/>
    <n v="1.3145625503133036"/>
    <n v="54750.356417043949"/>
    <n v="151967.37307204393"/>
    <n v="1229226.0892182682"/>
    <n v="24638.978567545575"/>
    <n v="176606.3516395895"/>
    <n v="53.590282366476409"/>
  </r>
  <r>
    <s v="093039"/>
    <s v="South Suburban Montessori"/>
    <s v="Cuyahoga"/>
    <x v="0"/>
    <n v="1"/>
    <x v="0"/>
    <n v="101"/>
    <n v="2979.5"/>
    <n v="101"/>
    <n v="1"/>
    <n v="0"/>
    <n v="2979.5"/>
    <n v="0"/>
    <n v="0"/>
    <n v="2979.5"/>
    <n v="29.5"/>
  </r>
  <r>
    <s v="056531"/>
    <s v="SS Robert and William School"/>
    <s v="Cuyahoga"/>
    <x v="0"/>
    <n v="1"/>
    <x v="0"/>
    <n v="421"/>
    <n v="12419.5"/>
    <n v="449.41059999999999"/>
    <n v="1.0674836104513064"/>
    <n v="1500.5140475910948"/>
    <n v="13920.014047591096"/>
    <n v="0"/>
    <n v="0"/>
    <n v="13920.014047591096"/>
    <n v="33.06416638382683"/>
  </r>
  <r>
    <s v="055913"/>
    <s v="St Adalbert"/>
    <s v="Cuyahoga"/>
    <x v="0"/>
    <n v="1"/>
    <x v="0"/>
    <n v="409"/>
    <n v="12065.5"/>
    <n v="479.97719999999998"/>
    <n v="1.1735383863080684"/>
    <n v="3748.6813252336333"/>
    <n v="15814.181325233632"/>
    <n v="0"/>
    <n v="0"/>
    <n v="15814.181325233632"/>
    <n v="38.665480012796166"/>
  </r>
  <r>
    <s v="055947"/>
    <s v="St Agatha-St Aloysius"/>
    <s v="Cuyahoga"/>
    <x v="0"/>
    <n v="1"/>
    <x v="0"/>
    <n v="195"/>
    <n v="5752.5"/>
    <n v="230.65720000000002"/>
    <n v="1.182857435897436"/>
    <n v="1883.2453203299201"/>
    <n v="7635.7453203299201"/>
    <n v="0"/>
    <n v="0"/>
    <n v="7635.7453203299201"/>
    <n v="39.157668309384206"/>
  </r>
  <r>
    <s v="056713"/>
    <s v="St Albert The Great"/>
    <s v="Cuyahoga"/>
    <x v="0"/>
    <n v="1"/>
    <x v="0"/>
    <n v="806"/>
    <n v="23777"/>
    <n v="834.37159999999994"/>
    <n v="1.0352004962779155"/>
    <n v="1498.4542513229371"/>
    <n v="25275.454251322939"/>
    <n v="0"/>
    <n v="0"/>
    <n v="25275.454251322939"/>
    <n v="31.35912438129397"/>
  </r>
  <r>
    <s v="056549"/>
    <s v="St Angela Merici"/>
    <s v="Cuyahoga"/>
    <x v="0"/>
    <n v="1"/>
    <x v="0"/>
    <n v="390"/>
    <n v="11505"/>
    <n v="400.34879999999998"/>
    <n v="1.0265353846153846"/>
    <n v="546.5748620483447"/>
    <n v="12051.574862048345"/>
    <n v="0"/>
    <n v="0"/>
    <n v="12051.574862048345"/>
    <n v="30.901474005252165"/>
  </r>
  <r>
    <s v="056747"/>
    <s v="St Anthony Of Padua"/>
    <s v="Cuyahoga"/>
    <x v="0"/>
    <n v="1"/>
    <x v="0"/>
    <n v="238"/>
    <n v="7021"/>
    <n v="245.8056"/>
    <n v="1.0327966386554621"/>
    <n v="412.25501924904972"/>
    <n v="7433.2550192490498"/>
    <n v="0"/>
    <n v="0"/>
    <n v="7433.2550192490498"/>
    <n v="31.232163946424578"/>
  </r>
  <r>
    <s v="056556"/>
    <s v="St Benedict Catholic School"/>
    <s v="Cuyahoga"/>
    <x v="0"/>
    <n v="1"/>
    <x v="0"/>
    <n v="317"/>
    <n v="9351.5"/>
    <n v="345.83580000000001"/>
    <n v="1.0909646687697161"/>
    <n v="1522.9711084428809"/>
    <n v="10874.471108442882"/>
    <n v="0"/>
    <n v="0"/>
    <n v="10874.471108442882"/>
    <n v="34.304325263226758"/>
  </r>
  <r>
    <s v="017333"/>
    <s v="St Benedict Early Learning Center"/>
    <s v="Cuyahoga"/>
    <x v="0"/>
    <n v="1"/>
    <x v="0"/>
    <n v="42"/>
    <n v="1239"/>
    <n v="43.3"/>
    <n v="1.0309523809523808"/>
    <n v="68.659875605176225"/>
    <n v="1307.6598756051762"/>
    <n v="0"/>
    <n v="0"/>
    <n v="1307.6598756051762"/>
    <n v="31.134758942980387"/>
  </r>
  <r>
    <s v="056887"/>
    <s v="St Bernadette"/>
    <s v="Cuyahoga"/>
    <x v="0"/>
    <n v="1"/>
    <x v="0"/>
    <n v="355"/>
    <n v="10472.5"/>
    <n v="372.12279999999998"/>
    <n v="1.0482332394366196"/>
    <n v="904.34562924024078"/>
    <n v="11376.845629240241"/>
    <n v="0"/>
    <n v="0"/>
    <n v="11376.845629240241"/>
    <n v="32.047452476733071"/>
  </r>
  <r>
    <s v="056697"/>
    <s v="St Brendan"/>
    <s v="Cuyahoga"/>
    <x v="0"/>
    <n v="1"/>
    <x v="0"/>
    <n v="148"/>
    <n v="4366"/>
    <n v="154.9992"/>
    <n v="1.0472918918918919"/>
    <n v="369.6647702582697"/>
    <n v="4735.6647702582695"/>
    <n v="0"/>
    <n v="0"/>
    <n v="4735.6647702582695"/>
    <n v="31.997734934177497"/>
  </r>
  <r>
    <s v="056762"/>
    <s v="St Charles Borromeo"/>
    <s v="Cuyahoga"/>
    <x v="0"/>
    <n v="1"/>
    <x v="0"/>
    <n v="318"/>
    <n v="9381"/>
    <n v="339.8732"/>
    <n v="1.068783647798742"/>
    <n v="1155.2393777593413"/>
    <n v="10536.239377759341"/>
    <n v="0"/>
    <n v="0"/>
    <n v="10536.239377759341"/>
    <n v="33.132828231947613"/>
  </r>
  <r>
    <s v="056804"/>
    <s v="St Christopher"/>
    <s v="Cuyahoga"/>
    <x v="0"/>
    <n v="1"/>
    <x v="0"/>
    <n v="268"/>
    <n v="7906"/>
    <n v="280.53579999999999"/>
    <n v="1.0467753731343283"/>
    <n v="662.08189893182282"/>
    <n v="8568.0818989318232"/>
    <n v="0"/>
    <n v="0"/>
    <n v="8568.0818989318232"/>
    <n v="31.970454846760536"/>
  </r>
  <r>
    <s v="056770"/>
    <s v="St Columbkille"/>
    <s v="Cuyahoga"/>
    <x v="0"/>
    <n v="1"/>
    <x v="0"/>
    <n v="331"/>
    <n v="9764.5"/>
    <n v="361.05860000000001"/>
    <n v="1.0908114803625377"/>
    <n v="1587.5536437428889"/>
    <n v="11352.053643742889"/>
    <n v="0"/>
    <n v="0"/>
    <n v="11352.053643742889"/>
    <n v="34.296234573241357"/>
  </r>
  <r>
    <s v="056812"/>
    <s v="St Dominic"/>
    <s v="Cuyahoga"/>
    <x v="0"/>
    <n v="1"/>
    <x v="0"/>
    <n v="184"/>
    <n v="5428"/>
    <n v="196.56100000000001"/>
    <n v="1.0682663043478262"/>
    <n v="663.41284421278533"/>
    <n v="6091.4128442127858"/>
    <n v="0"/>
    <n v="0"/>
    <n v="6091.4128442127858"/>
    <n v="33.105504588112964"/>
  </r>
  <r>
    <s v="053546"/>
    <s v="St Edward"/>
    <s v="Cuyahoga"/>
    <x v="0"/>
    <n v="1"/>
    <x v="0"/>
    <n v="951"/>
    <n v="28054.5"/>
    <n v="1018.8407999999999"/>
    <n v="1.0713362776025237"/>
    <n v="3583.0314530428041"/>
    <n v="31637.531453042804"/>
    <n v="0"/>
    <n v="0"/>
    <n v="31637.531453042804"/>
    <n v="33.267646112558154"/>
  </r>
  <r>
    <s v="056010"/>
    <s v="St Francis"/>
    <s v="Cuyahoga"/>
    <x v="0"/>
    <n v="1"/>
    <x v="0"/>
    <n v="218"/>
    <n v="6431"/>
    <n v="247.52359999999999"/>
    <n v="1.1354293577981651"/>
    <n v="1559.2974641669109"/>
    <n v="7990.2974641669107"/>
    <n v="0"/>
    <n v="0"/>
    <n v="7990.2974641669107"/>
    <n v="36.652740661316102"/>
  </r>
  <r>
    <s v="056580"/>
    <s v="St Francis Of Assisi"/>
    <s v="Cuyahoga"/>
    <x v="0"/>
    <n v="1"/>
    <x v="0"/>
    <n v="319"/>
    <n v="9410.5"/>
    <n v="327.6114"/>
    <n v="1.0269949843260189"/>
    <n v="454.81357906647389"/>
    <n v="9865.3135790664746"/>
    <n v="0"/>
    <n v="0"/>
    <n v="9865.3135790664746"/>
    <n v="30.925747896760107"/>
  </r>
  <r>
    <s v="056051"/>
    <s v="St Ignatius"/>
    <s v="Cuyahoga"/>
    <x v="0"/>
    <n v="1"/>
    <x v="0"/>
    <n v="261"/>
    <n v="7699.5"/>
    <n v="304.50700000000001"/>
    <n v="1.1666934865900382"/>
    <n v="2297.8347753495455"/>
    <n v="9997.3347753495455"/>
    <n v="0"/>
    <n v="0"/>
    <n v="9997.3347753495455"/>
    <n v="38.303964656511667"/>
  </r>
  <r>
    <s v="053629"/>
    <s v="St Ignatius High School"/>
    <s v="Cuyahoga"/>
    <x v="0"/>
    <n v="1"/>
    <x v="0"/>
    <n v="1553"/>
    <n v="45813.5"/>
    <n v="1565.7"/>
    <n v="1.0081777205408886"/>
    <n v="670.75416937364855"/>
    <n v="46484.254169373649"/>
    <n v="0"/>
    <n v="0"/>
    <n v="46484.254169373649"/>
    <n v="29.931908673131776"/>
  </r>
  <r>
    <s v="056069"/>
    <s v="St Jerome"/>
    <s v="Cuyahoga"/>
    <x v="0"/>
    <n v="1"/>
    <x v="0"/>
    <n v="217"/>
    <n v="6401.5"/>
    <n v="255.435"/>
    <n v="1.1771198156682028"/>
    <n v="2029.9556299115031"/>
    <n v="8431.4556299115029"/>
    <n v="0"/>
    <n v="0"/>
    <n v="8431.4556299115029"/>
    <n v="38.854634239223515"/>
  </r>
  <r>
    <s v="056432"/>
    <s v="St Joan Of Arc"/>
    <s v="Cuyahoga"/>
    <x v="0"/>
    <n v="1"/>
    <x v="0"/>
    <n v="168"/>
    <n v="4956"/>
    <n v="174.63659999999999"/>
    <n v="1.0395035714285714"/>
    <n v="350.51394649331741"/>
    <n v="5306.5139464933172"/>
    <n v="0"/>
    <n v="0"/>
    <n v="5306.5139464933172"/>
    <n v="31.586392538650699"/>
  </r>
  <r>
    <s v="060384"/>
    <s v="St John Lutheran"/>
    <s v="Cuyahoga"/>
    <x v="0"/>
    <n v="1"/>
    <x v="0"/>
    <n v="148"/>
    <n v="4366"/>
    <n v="158.80000000000001"/>
    <n v="1.0729729729729731"/>
    <n v="570.40512041223508"/>
    <n v="4936.4051204122352"/>
    <n v="0"/>
    <n v="0"/>
    <n v="4936.4051204122352"/>
    <n v="33.354088651434019"/>
  </r>
  <r>
    <s v="053702"/>
    <s v="St Joseph Academy"/>
    <s v="Cuyahoga"/>
    <x v="0"/>
    <n v="1"/>
    <x v="0"/>
    <n v="692"/>
    <n v="20414"/>
    <n v="698.7"/>
    <n v="1.0096820809248555"/>
    <n v="353.862435811296"/>
    <n v="20767.862435811297"/>
    <n v="0"/>
    <n v="0"/>
    <n v="20767.862435811297"/>
    <n v="30.011361901461413"/>
  </r>
  <r>
    <s v="056127"/>
    <s v="St Leo The Great"/>
    <s v="Cuyahoga"/>
    <x v="0"/>
    <n v="1"/>
    <x v="0"/>
    <n v="276"/>
    <n v="8142"/>
    <n v="307.24799999999999"/>
    <n v="1.1132173913043477"/>
    <n v="1650.3721483927316"/>
    <n v="9792.3721483927311"/>
    <n v="0"/>
    <n v="0"/>
    <n v="9792.3721483927311"/>
    <n v="35.479609233306995"/>
  </r>
  <r>
    <s v="056143"/>
    <s v="St Mark"/>
    <s v="Cuyahoga"/>
    <x v="0"/>
    <n v="1"/>
    <x v="0"/>
    <n v="407"/>
    <n v="12006.5"/>
    <n v="426.25159999999994"/>
    <n v="1.0473012285012284"/>
    <n v="1016.778816308161"/>
    <n v="13023.27881630816"/>
    <n v="0"/>
    <n v="0"/>
    <n v="13023.27881630816"/>
    <n v="31.9982280498972"/>
  </r>
  <r>
    <s v="056408"/>
    <s v="St Mary"/>
    <s v="Cuyahoga"/>
    <x v="0"/>
    <n v="1"/>
    <x v="0"/>
    <n v="211"/>
    <n v="6224.5"/>
    <n v="219.03659999999999"/>
    <n v="1.0380881516587677"/>
    <n v="424.45535099119996"/>
    <n v="6648.9553509912002"/>
    <n v="0"/>
    <n v="0"/>
    <n v="6648.9553509912002"/>
    <n v="31.511636734555452"/>
  </r>
  <r>
    <s v="056358"/>
    <s v="St Mary Byzantine"/>
    <s v="Cuyahoga"/>
    <x v="0"/>
    <n v="1"/>
    <x v="0"/>
    <n v="160"/>
    <n v="4720"/>
    <n v="177.88040000000001"/>
    <n v="1.1117525000000001"/>
    <n v="944.35849213138169"/>
    <n v="5664.3584921313814"/>
    <n v="0"/>
    <n v="0"/>
    <n v="5664.3584921313814"/>
    <n v="35.402240575821132"/>
  </r>
  <r>
    <s v="056721"/>
    <s v="St Mary Of The Falls"/>
    <s v="Cuyahoga"/>
    <x v="0"/>
    <n v="1"/>
    <x v="0"/>
    <n v="221"/>
    <n v="6519.5"/>
    <n v="238.69759999999999"/>
    <n v="1.0800796380090498"/>
    <n v="934.7038573155146"/>
    <n v="7454.2038573155151"/>
    <n v="0"/>
    <n v="0"/>
    <n v="7454.2038573155151"/>
    <n v="33.729429218622244"/>
  </r>
  <r>
    <s v="056606"/>
    <s v="St Michael"/>
    <s v="Cuyahoga"/>
    <x v="0"/>
    <n v="1"/>
    <x v="0"/>
    <n v="234"/>
    <n v="6903"/>
    <n v="243.81139999999999"/>
    <n v="1.0419290598290598"/>
    <n v="518.19192577894387"/>
    <n v="7421.1919257789441"/>
    <n v="0"/>
    <n v="0"/>
    <n v="7421.1919257789441"/>
    <n v="31.714495409311727"/>
  </r>
  <r>
    <s v="056598"/>
    <s v="St Paschal Baylon"/>
    <s v="Cuyahoga"/>
    <x v="0"/>
    <n v="1"/>
    <x v="0"/>
    <n v="332"/>
    <n v="9794"/>
    <n v="340.774"/>
    <n v="1.0264277108433735"/>
    <n v="463.40134504601355"/>
    <n v="10257.401345046013"/>
    <n v="0"/>
    <n v="0"/>
    <n v="10257.401345046013"/>
    <n v="30.895787183873534"/>
  </r>
  <r>
    <s v="060509"/>
    <s v="St Paul Lutheran"/>
    <s v="Cuyahoga"/>
    <x v="0"/>
    <n v="1"/>
    <x v="0"/>
    <n v="143"/>
    <n v="4218.5"/>
    <n v="143"/>
    <n v="1"/>
    <n v="0"/>
    <n v="4218.5"/>
    <n v="0"/>
    <n v="0"/>
    <n v="4218.5"/>
    <n v="29.5"/>
  </r>
  <r>
    <s v="056366"/>
    <s v="St Raphael"/>
    <s v="Cuyahoga"/>
    <x v="0"/>
    <n v="1"/>
    <x v="0"/>
    <n v="654"/>
    <n v="19293"/>
    <n v="682.7586"/>
    <n v="1.0439733944954128"/>
    <n v="1518.8937681377117"/>
    <n v="20811.89376813771"/>
    <n v="0"/>
    <n v="0"/>
    <n v="20811.89376813771"/>
    <n v="31.822467535378763"/>
  </r>
  <r>
    <s v="056820"/>
    <s v="St Rita"/>
    <s v="Cuyahoga"/>
    <x v="0"/>
    <n v="1"/>
    <x v="0"/>
    <n v="257"/>
    <n v="7581.5"/>
    <n v="262.89920000000001"/>
    <n v="1.022954085603113"/>
    <n v="311.56795243850542"/>
    <n v="7893.067952438505"/>
    <n v="0"/>
    <n v="0"/>
    <n v="7893.067952438505"/>
    <n v="30.712326663184843"/>
  </r>
  <r>
    <s v="056242"/>
    <s v="St Rocco"/>
    <s v="Cuyahoga"/>
    <x v="0"/>
    <n v="1"/>
    <x v="0"/>
    <n v="124"/>
    <n v="3658"/>
    <n v="154.8886"/>
    <n v="1.2491016129032257"/>
    <n v="1631.3903335523466"/>
    <n v="5289.3903335523464"/>
    <n v="0"/>
    <n v="0"/>
    <n v="5289.3903335523464"/>
    <n v="42.656373657680213"/>
  </r>
  <r>
    <s v="056267"/>
    <s v="St Stanislaus"/>
    <s v="Cuyahoga"/>
    <x v="0"/>
    <n v="1"/>
    <x v="0"/>
    <n v="204"/>
    <n v="6018"/>
    <n v="240.9914"/>
    <n v="1.1813303921568628"/>
    <n v="1953.7114788164008"/>
    <n v="7971.7114788164008"/>
    <n v="0"/>
    <n v="0"/>
    <n v="7971.7114788164008"/>
    <n v="39.077017053021571"/>
  </r>
  <r>
    <s v="056283"/>
    <s v="St Thomas Aquinas"/>
    <s v="Cuyahoga"/>
    <x v="0"/>
    <n v="1"/>
    <x v="0"/>
    <n v="191"/>
    <n v="5634.5"/>
    <n v="221.50399999999999"/>
    <n v="1.1597068062827225"/>
    <n v="1611.0775734309996"/>
    <n v="7245.5775734309991"/>
    <n v="0"/>
    <n v="0"/>
    <n v="7245.5775734309991"/>
    <n v="37.934961117439784"/>
  </r>
  <r>
    <s v="060533"/>
    <s v="St Thomas Lutheran"/>
    <s v="Cuyahoga"/>
    <x v="0"/>
    <n v="1"/>
    <x v="0"/>
    <n v="7"/>
    <n v="206.5"/>
    <n v="7"/>
    <n v="1"/>
    <n v="0"/>
    <n v="206.5"/>
    <n v="0"/>
    <n v="0"/>
    <n v="206.5"/>
    <n v="29.5"/>
  </r>
  <r>
    <s v="056424"/>
    <s v="St Thomas More"/>
    <s v="Cuyahoga"/>
    <x v="0"/>
    <n v="1"/>
    <x v="0"/>
    <n v="204"/>
    <n v="6018"/>
    <n v="219.4862"/>
    <n v="1.0759127450980392"/>
    <n v="817.90812738221712"/>
    <n v="6835.9081273822176"/>
    <n v="0"/>
    <n v="0"/>
    <n v="6835.9081273822176"/>
    <n v="33.509353565599106"/>
  </r>
  <r>
    <s v="013147"/>
    <s v="STEAM Academy of Warrensville Heights"/>
    <s v="Cuyahoga"/>
    <x v="4"/>
    <n v="1"/>
    <x v="8"/>
    <n v="216.865489"/>
    <n v="6397.5319254999995"/>
    <n v="278.12849000801901"/>
    <n v="1.2824930849556198"/>
    <n v="3235.6230987772155"/>
    <n v="9633.1550242772155"/>
    <n v="0"/>
    <n v="0"/>
    <n v="9633.1550242772155"/>
    <n v="44.419953901827206"/>
  </r>
  <r>
    <s v="016689"/>
    <s v="STEPS Academy"/>
    <s v="Cuyahoga"/>
    <x v="0"/>
    <n v="1"/>
    <x v="0"/>
    <n v="23"/>
    <n v="678.5"/>
    <n v="23"/>
    <n v="1"/>
    <n v="0"/>
    <n v="678.5"/>
    <n v="0"/>
    <n v="0"/>
    <n v="678.5"/>
    <n v="29.5"/>
  </r>
  <r>
    <s v="013148"/>
    <s v="Stepstone Academy"/>
    <s v="Cuyahoga"/>
    <x v="4"/>
    <n v="1"/>
    <x v="8"/>
    <n v="105.335442"/>
    <n v="3107.3955390000001"/>
    <n v="133.04566792582099"/>
    <n v="1.2630664987936444"/>
    <n v="1463.5235885063098"/>
    <n v="4570.9191275063095"/>
    <n v="0"/>
    <n v="0"/>
    <n v="4570.9191275063095"/>
    <n v="43.393933140816074"/>
  </r>
  <r>
    <s v="044842"/>
    <s v="Strongsville City"/>
    <s v="Cuyahoga"/>
    <x v="1"/>
    <n v="1"/>
    <x v="10"/>
    <n v="5349.9439089999996"/>
    <n v="157823.34531549999"/>
    <n v="6236.81637444235"/>
    <n v="1.165772292294579"/>
    <n v="46840.425503790662"/>
    <n v="204663.77081929066"/>
    <n v="4026927.0499472152"/>
    <n v="80716.940640120942"/>
    <n v="285380.7114594116"/>
    <n v="53.3427483191603"/>
  </r>
  <r>
    <s v="056853"/>
    <s v="Sts Joseph &amp; John Interparochi"/>
    <s v="Cuyahoga"/>
    <x v="0"/>
    <n v="1"/>
    <x v="0"/>
    <n v="581"/>
    <n v="17139.5"/>
    <n v="600.56020000000001"/>
    <n v="1.0336664371772806"/>
    <n v="1033.0776144710551"/>
    <n v="18172.577614471054"/>
    <n v="0"/>
    <n v="0"/>
    <n v="18172.577614471054"/>
    <n v="31.278102606662745"/>
  </r>
  <r>
    <s v="000302"/>
    <s v="Summit Academy Community School-Parma"/>
    <s v="Cuyahoga"/>
    <x v="4"/>
    <n v="1"/>
    <x v="8"/>
    <n v="186.05785700000001"/>
    <n v="5488.7067815"/>
    <n v="533.16195510522596"/>
    <n v="2.8655707622453477"/>
    <n v="18332.403229193656"/>
    <n v="23821.110010693657"/>
    <n v="0"/>
    <n v="0"/>
    <n v="23821.110010693657"/>
    <n v="128.03065882186129"/>
  </r>
  <r>
    <s v="014904"/>
    <s v="T2 Honors Academy"/>
    <s v="Cuyahoga"/>
    <x v="4"/>
    <n v="1"/>
    <x v="8"/>
    <n v="114.716313"/>
    <n v="3384.1312334999998"/>
    <n v="145.53693750509299"/>
    <n v="1.2686681928584385"/>
    <n v="1627.8001881488735"/>
    <n v="5011.9314216488729"/>
    <n v="0"/>
    <n v="0"/>
    <n v="5011.9314216488729"/>
    <n v="43.689788231329167"/>
  </r>
  <r>
    <s v="015179"/>
    <s v="The Bridge Avenue School"/>
    <s v="Cuyahoga"/>
    <x v="0"/>
    <n v="1"/>
    <x v="0"/>
    <n v="25"/>
    <n v="737.5"/>
    <n v="37.361000000000004"/>
    <n v="1.4944400000000002"/>
    <n v="652.84978642737349"/>
    <n v="1390.3497864273736"/>
    <n v="0"/>
    <n v="0"/>
    <n v="1390.3497864273736"/>
    <n v="55.613991457094947"/>
  </r>
  <r>
    <s v="016978"/>
    <s v="The Reserve School"/>
    <s v="Cuyahoga"/>
    <x v="0"/>
    <n v="1"/>
    <x v="0"/>
    <n v="20"/>
    <n v="590"/>
    <n v="20"/>
    <n v="1"/>
    <n v="0"/>
    <n v="590"/>
    <n v="0"/>
    <n v="0"/>
    <n v="590"/>
    <n v="29.5"/>
  </r>
  <r>
    <s v="060905"/>
    <s v="The University School"/>
    <s v="Cuyahoga"/>
    <x v="0"/>
    <n v="1"/>
    <x v="0"/>
    <n v="396"/>
    <n v="11682"/>
    <n v="396"/>
    <n v="1"/>
    <n v="0"/>
    <n v="11682"/>
    <n v="0"/>
    <n v="0"/>
    <n v="11682"/>
    <n v="29.5"/>
  </r>
  <r>
    <s v="053926"/>
    <s v="The University School - College Prep"/>
    <s v="Cuyahoga"/>
    <x v="0"/>
    <n v="1"/>
    <x v="0"/>
    <n v="419"/>
    <n v="12360.5"/>
    <n v="419"/>
    <n v="1"/>
    <n v="0"/>
    <n v="12360.5"/>
    <n v="0"/>
    <n v="0"/>
    <n v="12360.5"/>
    <n v="29.5"/>
  </r>
  <r>
    <s v="053256"/>
    <s v="Trinity"/>
    <s v="Cuyahoga"/>
    <x v="0"/>
    <n v="1"/>
    <x v="0"/>
    <n v="355"/>
    <n v="10472.5"/>
    <n v="386.17319999999995"/>
    <n v="1.0878118309859153"/>
    <n v="1646.4215647809854"/>
    <n v="12118.921564780985"/>
    <n v="0"/>
    <n v="0"/>
    <n v="12118.921564780985"/>
    <n v="34.13780722473517"/>
  </r>
  <r>
    <s v="012541"/>
    <s v="University of Cleveland Preparatory School"/>
    <s v="Cuyahoga"/>
    <x v="4"/>
    <n v="1"/>
    <x v="8"/>
    <n v="288.071011"/>
    <n v="8498.0948245"/>
    <n v="415.893563140526"/>
    <n v="1.443718900061506"/>
    <n v="6750.9850226959124"/>
    <n v="15249.079847195913"/>
    <n v="0"/>
    <n v="0"/>
    <n v="15249.079847195913"/>
    <n v="52.935141909145152"/>
  </r>
  <r>
    <s v="018011"/>
    <s v="Urban Community"/>
    <s v="Cuyahoga"/>
    <x v="0"/>
    <n v="1"/>
    <x v="0"/>
    <n v="503"/>
    <n v="14838.5"/>
    <n v="570.83999999999992"/>
    <n v="1.1348707753479124"/>
    <n v="3582.9892008116612"/>
    <n v="18421.489200811662"/>
    <n v="0"/>
    <n v="0"/>
    <n v="18421.489200811662"/>
    <n v="36.623238967816427"/>
  </r>
  <r>
    <s v="053660"/>
    <s v="Villa Angela-St Joseph"/>
    <s v="Cuyahoga"/>
    <x v="0"/>
    <n v="1"/>
    <x v="0"/>
    <n v="455"/>
    <n v="13422.5"/>
    <n v="513.54179999999997"/>
    <n v="1.1286632967032966"/>
    <n v="3091.902081310086"/>
    <n v="16514.402081310087"/>
    <n v="0"/>
    <n v="0"/>
    <n v="16514.402081310087"/>
    <n v="36.2953891896925"/>
  </r>
  <r>
    <s v="011291"/>
    <s v="Village Preparatory School"/>
    <s v="Cuyahoga"/>
    <x v="4"/>
    <n v="1"/>
    <x v="8"/>
    <n v="748.16779299999996"/>
    <n v="22070.949893499997"/>
    <n v="811.15113635990099"/>
    <n v="1.0841834464797673"/>
    <n v="3326.4834771453197"/>
    <n v="25397.433370645318"/>
    <n v="0"/>
    <n v="0"/>
    <n v="25397.433370645318"/>
    <n v="33.946173048704487"/>
  </r>
  <r>
    <s v="015722"/>
    <s v="Village Preparatory School Willard"/>
    <s v="Cuyahoga"/>
    <x v="4"/>
    <n v="1"/>
    <x v="8"/>
    <n v="312.66680400000001"/>
    <n v="9223.6707180000012"/>
    <n v="414.994546849708"/>
    <n v="1.3272740871132196"/>
    <n v="5404.4693038610976"/>
    <n v="14628.140021861098"/>
    <n v="0"/>
    <n v="0"/>
    <n v="14628.140021861098"/>
    <n v="46.78507546922409"/>
  </r>
  <r>
    <s v="013034"/>
    <s v="Village Preparatory School:: Woodland Hills Campus"/>
    <s v="Cuyahoga"/>
    <x v="4"/>
    <n v="1"/>
    <x v="8"/>
    <n v="707.76686800000004"/>
    <n v="20879.122606000001"/>
    <n v="788.66934461949995"/>
    <n v="1.1143066739590584"/>
    <n v="4272.8876775735034"/>
    <n v="25152.010283573505"/>
    <n v="0"/>
    <n v="0"/>
    <n v="25152.010283573505"/>
    <n v="35.537140011438773"/>
  </r>
  <r>
    <s v="045005"/>
    <s v="Warrensville Heights City"/>
    <s v="Cuyahoga"/>
    <x v="1"/>
    <n v="1"/>
    <x v="9"/>
    <n v="1646.8681750000001"/>
    <n v="48582.611162500005"/>
    <n v="2422.1880325816101"/>
    <n v="1.4707844072471739"/>
    <n v="40948.74228905877"/>
    <n v="89531.353451558767"/>
    <n v="887774.3942013873"/>
    <n v="17794.817782833194"/>
    <n v="107326.17123439196"/>
    <n v="65.169861719133621"/>
  </r>
  <r>
    <s v="133280"/>
    <s v="Washington Park Community School"/>
    <s v="Cuyahoga"/>
    <x v="4"/>
    <n v="1"/>
    <x v="8"/>
    <n v="206.834146"/>
    <n v="6101.6073070000002"/>
    <n v="272.15034320105201"/>
    <n v="1.3157902042008673"/>
    <n v="3449.6938267903079"/>
    <n v="9551.3011337903081"/>
    <n v="0"/>
    <n v="0"/>
    <n v="9551.3011337903081"/>
    <n v="46.17855087520369"/>
  </r>
  <r>
    <s v="014189"/>
    <s v="West Park Academy"/>
    <s v="Cuyahoga"/>
    <x v="4"/>
    <n v="1"/>
    <x v="8"/>
    <n v="216.44970499999999"/>
    <n v="6385.2662975000003"/>
    <n v="334.30144979139902"/>
    <n v="1.544476347479425"/>
    <n v="6224.3739517157301"/>
    <n v="12609.64024921573"/>
    <n v="0"/>
    <n v="0"/>
    <n v="12609.64024921573"/>
    <n v="58.256675606075468"/>
  </r>
  <r>
    <s v="143313"/>
    <s v="West Preparatory Academy"/>
    <s v="Cuyahoga"/>
    <x v="4"/>
    <n v="1"/>
    <x v="8"/>
    <n v="122.800003"/>
    <n v="3622.6000885000003"/>
    <n v="170.98236770581201"/>
    <n v="1.3923645238494986"/>
    <n v="2544.7655131263791"/>
    <n v="6167.3656016263794"/>
    <n v="0"/>
    <n v="0"/>
    <n v="6167.3656016263794"/>
    <n v="50.222845691839105"/>
  </r>
  <r>
    <s v="045062"/>
    <s v="Westlake City"/>
    <s v="Cuyahoga"/>
    <x v="1"/>
    <n v="1"/>
    <x v="11"/>
    <n v="3428.5633910000001"/>
    <n v="101142.62003450001"/>
    <n v="4101.88086327164"/>
    <n v="1.1963847231289648"/>
    <n v="35561.456837663529"/>
    <n v="136704.07687216354"/>
    <n v="1700296.3135659946"/>
    <n v="34081.25225772884"/>
    <n v="170785.32912989237"/>
    <n v="49.812504437924325"/>
  </r>
  <r>
    <s v="013209"/>
    <s v="Westside Christian Academy"/>
    <s v="Cuyahoga"/>
    <x v="0"/>
    <n v="1"/>
    <x v="0"/>
    <n v="241"/>
    <n v="7109.5"/>
    <n v="241"/>
    <n v="1"/>
    <n v="0"/>
    <n v="7109.5"/>
    <n v="0"/>
    <n v="0"/>
    <n v="7109.5"/>
    <n v="29.5"/>
  </r>
  <r>
    <s v="000736"/>
    <s v="Wings Academy 1"/>
    <s v="Cuyahoga"/>
    <x v="4"/>
    <n v="1"/>
    <x v="8"/>
    <n v="223.024843"/>
    <n v="6579.2328685000002"/>
    <n v="282.09603622986202"/>
    <n v="1.2648637364128175"/>
    <n v="3119.8621377012792"/>
    <n v="9699.0950062012798"/>
    <n v="0"/>
    <n v="0"/>
    <n v="9699.0950062012798"/>
    <n v="43.488854764943291"/>
  </r>
  <r>
    <s v="086678"/>
    <s v="Yeshiva Derech Hatorah"/>
    <s v="Cuyahoga"/>
    <x v="0"/>
    <n v="1"/>
    <x v="0"/>
    <n v="566"/>
    <n v="16697"/>
    <n v="616.13580000000002"/>
    <n v="1.0885791519434629"/>
    <n v="2647.9367625892332"/>
    <n v="19344.936762589234"/>
    <n v="0"/>
    <n v="0"/>
    <n v="19344.936762589234"/>
    <n v="34.178333502807831"/>
  </r>
  <r>
    <s v="017030"/>
    <s v="Yeshiva Derech Hatorah"/>
    <s v="Cuyahoga"/>
    <x v="0"/>
    <n v="1"/>
    <x v="0"/>
    <n v="111"/>
    <n v="3274.5"/>
    <n v="125.374"/>
    <n v="1.1294954954954954"/>
    <n v="759.16696303754213"/>
    <n v="4033.6669630375422"/>
    <n v="0"/>
    <n v="0"/>
    <n v="4033.6669630375422"/>
    <n v="36.339342009347227"/>
  </r>
  <r>
    <s v="017161"/>
    <s v="Yeshiva High School of Cleveland"/>
    <s v="Cuyahoga"/>
    <x v="0"/>
    <n v="1"/>
    <x v="0"/>
    <n v="7"/>
    <n v="206.5"/>
    <n v="8.4748000000000001"/>
    <n v="1.2106857142857144"/>
    <n v="77.891988109626254"/>
    <n v="284.39198810962625"/>
    <n v="0"/>
    <n v="0"/>
    <n v="284.39198810962625"/>
    <n v="40.627426872803753"/>
  </r>
  <r>
    <s v="046623"/>
    <s v="Ansonia Local"/>
    <s v="Darke"/>
    <x v="1"/>
    <n v="1"/>
    <x v="1"/>
    <n v="782.46852699999999"/>
    <n v="23082.821546499999"/>
    <n v="877.36209619500403"/>
    <n v="1.1212746147871633"/>
    <n v="5011.83127435398"/>
    <n v="28094.652820853978"/>
    <n v="843410.16779731901"/>
    <n v="16905.567844906207"/>
    <n v="45000.220665760186"/>
    <n v="57.510582359512824"/>
  </r>
  <r>
    <s v="046631"/>
    <s v="Arcanum-Butler Local "/>
    <s v="Darke"/>
    <x v="1"/>
    <n v="1"/>
    <x v="3"/>
    <n v="1115.28404"/>
    <n v="32900.879180000004"/>
    <n v="1220.16439258015"/>
    <n v="1.0940391405405119"/>
    <n v="5539.2861242924128"/>
    <n v="38440.165304292415"/>
    <n v="822438.23693425593"/>
    <n v="16485.200135835148"/>
    <n v="54925.365440127563"/>
    <n v="49.247871815800004"/>
  </r>
  <r>
    <s v="123109"/>
    <s v="Decolores Montessori School"/>
    <s v="Darke"/>
    <x v="0"/>
    <n v="1"/>
    <x v="0"/>
    <n v="122"/>
    <n v="3599"/>
    <n v="122"/>
    <n v="1"/>
    <n v="0"/>
    <n v="3599"/>
    <n v="0"/>
    <n v="0"/>
    <n v="3599"/>
    <n v="29.5"/>
  </r>
  <r>
    <s v="046649"/>
    <s v="Franklin Monroe Local"/>
    <s v="Darke"/>
    <x v="1"/>
    <n v="1"/>
    <x v="3"/>
    <n v="585.19907899999998"/>
    <n v="17263.3728305"/>
    <n v="631.45115160078899"/>
    <n v="1.0790364753817205"/>
    <n v="2442.8165778859689"/>
    <n v="19706.18940838597"/>
    <n v="811083.68963650556"/>
    <n v="16257.606164337707"/>
    <n v="35963.795572723677"/>
    <n v="61.455659899840136"/>
  </r>
  <r>
    <s v="044099"/>
    <s v="Greenville City "/>
    <s v="Darke"/>
    <x v="1"/>
    <n v="1"/>
    <x v="6"/>
    <n v="2502.6083490000001"/>
    <n v="73826.946295500005"/>
    <n v="3034.6315515353899"/>
    <n v="1.2125874800777265"/>
    <n v="28098.959157805708"/>
    <n v="101925.90545330572"/>
    <n v="1552911.2224454607"/>
    <n v="31127.021027895436"/>
    <n v="133052.92648120117"/>
    <n v="53.165700711566338"/>
  </r>
  <r>
    <s v="046672"/>
    <s v="Mississinawa Valley Local"/>
    <s v="Darke"/>
    <x v="1"/>
    <n v="1"/>
    <x v="1"/>
    <n v="634.88554699999997"/>
    <n v="18729.1236365"/>
    <n v="789.79615961162995"/>
    <n v="1.2439976990240573"/>
    <n v="8181.6487629509083"/>
    <n v="26910.772399450907"/>
    <n v="689276.43734132417"/>
    <n v="13816.06485229053"/>
    <n v="40726.837251741439"/>
    <n v="64.148313730224885"/>
  </r>
  <r>
    <s v="055335"/>
    <s v="St Mary"/>
    <s v="Darke"/>
    <x v="0"/>
    <n v="1"/>
    <x v="0"/>
    <n v="81"/>
    <n v="2389.5"/>
    <n v="86.686999999999998"/>
    <n v="1.0702098765432098"/>
    <n v="300.36054812818298"/>
    <n v="2689.8605481281829"/>
    <n v="0"/>
    <n v="0"/>
    <n v="2689.8605481281829"/>
    <n v="33.208154915162751"/>
  </r>
  <r>
    <s v="046680"/>
    <s v="Tri-Village Local"/>
    <s v="Darke"/>
    <x v="1"/>
    <n v="1"/>
    <x v="3"/>
    <n v="814.82382500000006"/>
    <n v="24037.302837500003"/>
    <n v="930.16938062585405"/>
    <n v="1.1415588892799666"/>
    <n v="6092.0088468316044"/>
    <n v="30129.311684331609"/>
    <n v="686924.04608590412"/>
    <n v="13768.912812293041"/>
    <n v="43898.224496624651"/>
    <n v="53.874497958653393"/>
  </r>
  <r>
    <s v="045633"/>
    <s v="Versailles Exempted Village"/>
    <s v="Darke"/>
    <x v="1"/>
    <n v="1"/>
    <x v="3"/>
    <n v="1307.9749059999999"/>
    <n v="38585.259726999997"/>
    <n v="1437.7460169707899"/>
    <n v="1.0992152910392228"/>
    <n v="6853.8987203076776"/>
    <n v="45439.158447307673"/>
    <n v="765247.61901719111"/>
    <n v="15338.854136931575"/>
    <n v="60778.012584239244"/>
    <n v="46.467261952378195"/>
  </r>
  <r>
    <s v="046706"/>
    <s v="Ayersville Local "/>
    <s v="Defiance"/>
    <x v="1"/>
    <n v="1"/>
    <x v="7"/>
    <n v="735.92605500000002"/>
    <n v="21709.818622499999"/>
    <n v="790.97474531670605"/>
    <n v="1.0748019314477268"/>
    <n v="2907.4124841330099"/>
    <n v="24617.231106633008"/>
    <n v="362728.59996620391"/>
    <n v="7270.6414863735954"/>
    <n v="31887.872593006603"/>
    <n v="43.330267186975192"/>
  </r>
  <r>
    <s v="046714"/>
    <s v="Central Local "/>
    <s v="Defiance"/>
    <x v="1"/>
    <n v="1"/>
    <x v="3"/>
    <n v="950.55021899999997"/>
    <n v="28041.231460499999"/>
    <n v="1137.6533299804501"/>
    <n v="1.1968366397067234"/>
    <n v="9881.9048655840088"/>
    <n v="37923.136326084008"/>
    <n v="1123034.6007055533"/>
    <n v="22510.444335747354"/>
    <n v="60433.580661831365"/>
    <n v="63.577472766677012"/>
  </r>
  <r>
    <s v="043869"/>
    <s v="Defiance City"/>
    <s v="Defiance"/>
    <x v="1"/>
    <n v="1"/>
    <x v="6"/>
    <n v="2414.383429"/>
    <n v="71224.311155499992"/>
    <n v="2933.6477475059401"/>
    <n v="1.2150711905444991"/>
    <n v="27425.095011403486"/>
    <n v="98649.406166903471"/>
    <n v="1850447.8651558661"/>
    <n v="37090.935255800679"/>
    <n v="135740.34142270416"/>
    <n v="56.221534571634173"/>
  </r>
  <r>
    <n v="65946"/>
    <s v="Defiance County Board of DD"/>
    <s v="Defiance"/>
    <x v="2"/>
    <n v="1"/>
    <x v="2"/>
    <n v="35.590000000000003"/>
    <n v="1049.9050000000002"/>
    <n v="177.47783500000003"/>
    <n v="4.9867332115762855"/>
    <n v="7493.8470007598398"/>
    <n v="8543.7520007598396"/>
    <n v="0"/>
    <n v="0"/>
    <n v="8543.7520007598396"/>
    <n v="240.06046644450237"/>
  </r>
  <r>
    <s v="045419"/>
    <s v="Hicksville Exempted Village"/>
    <s v="Defiance"/>
    <x v="1"/>
    <n v="1"/>
    <x v="1"/>
    <n v="902.18143199999997"/>
    <n v="26614.352243999998"/>
    <n v="1096.27453901123"/>
    <n v="1.2151375545171164"/>
    <n v="10251.083525548645"/>
    <n v="36865.43576954864"/>
    <n v="425094.74832624488"/>
    <n v="8520.7273788400071"/>
    <n v="45386.163148388645"/>
    <n v="50.307135060155666"/>
  </r>
  <r>
    <s v="059022"/>
    <s v="Holy Cross Catholic School of Defiance"/>
    <s v="Defiance"/>
    <x v="0"/>
    <n v="1"/>
    <x v="0"/>
    <n v="70"/>
    <n v="2065"/>
    <n v="75.186999999999998"/>
    <n v="1.0741000000000001"/>
    <n v="273.9529036646536"/>
    <n v="2338.9529036646536"/>
    <n v="0"/>
    <n v="0"/>
    <n v="2338.9529036646536"/>
    <n v="33.41361290949505"/>
  </r>
  <r>
    <s v="046722"/>
    <s v="Northeastern Local"/>
    <s v="Defiance"/>
    <x v="1"/>
    <n v="1"/>
    <x v="7"/>
    <n v="1070.5980030000001"/>
    <n v="31582.6410885"/>
    <n v="1213.7062211390401"/>
    <n v="1.1336712918742853"/>
    <n v="7558.3018888499473"/>
    <n v="39140.942977349951"/>
    <n v="991520.04574445111"/>
    <n v="19874.326920547002"/>
    <n v="59015.269897896957"/>
    <n v="55.12365027071413"/>
  </r>
  <r>
    <s v="060392"/>
    <s v="St John Lutheran"/>
    <s v="Defiance"/>
    <x v="0"/>
    <n v="1"/>
    <x v="0"/>
    <n v="81"/>
    <n v="2389.5"/>
    <n v="90.636600000000001"/>
    <n v="1.1189703703703704"/>
    <n v="508.95981327449442"/>
    <n v="2898.4598132744945"/>
    <n v="0"/>
    <n v="0"/>
    <n v="2898.4598132744945"/>
    <n v="35.783454484870305"/>
  </r>
  <r>
    <s v="133116"/>
    <s v="All The Children Of The World Academy"/>
    <s v="Delaware"/>
    <x v="0"/>
    <n v="1"/>
    <x v="0"/>
    <n v="53"/>
    <n v="1563.5"/>
    <n v="54.474800000000002"/>
    <n v="1.0278264150943397"/>
    <n v="77.891988109626354"/>
    <n v="1641.3919881096263"/>
    <n v="0"/>
    <n v="0"/>
    <n v="1641.3919881096263"/>
    <n v="30.969660153011816"/>
  </r>
  <r>
    <s v="046748"/>
    <s v="Big Walnut Local"/>
    <s v="Delaware"/>
    <x v="1"/>
    <n v="1"/>
    <x v="10"/>
    <n v="3710.4856479999999"/>
    <n v="109459.32661599999"/>
    <n v="4232.6058146359101"/>
    <n v="1.1407147786482721"/>
    <n v="27575.927455519657"/>
    <n v="137035.25407151965"/>
    <n v="3201401.075807333"/>
    <n v="64169.848968221813"/>
    <n v="201205.10303974146"/>
    <n v="54.226083086507458"/>
  </r>
  <r>
    <s v="046755"/>
    <s v="Buckeye Valley Local"/>
    <s v="Delaware"/>
    <x v="1"/>
    <n v="1"/>
    <x v="7"/>
    <n v="2161.0707579999998"/>
    <n v="63751.587360999998"/>
    <n v="2508.8567915200101"/>
    <n v="1.1609322749995816"/>
    <n v="18368.41984515508"/>
    <n v="82120.007206155075"/>
    <n v="3215330.8335621632"/>
    <n v="64449.061235015339"/>
    <n v="146569.06844117041"/>
    <n v="67.822429181733639"/>
  </r>
  <r>
    <s v="017530"/>
    <s v="Christian Life Church of Westerville"/>
    <s v="Delaware"/>
    <x v="0"/>
    <n v="1"/>
    <x v="0"/>
    <n v="24"/>
    <n v="708"/>
    <n v="24"/>
    <n v="1"/>
    <n v="0"/>
    <n v="708"/>
    <n v="0"/>
    <n v="0"/>
    <n v="708"/>
    <n v="29.5"/>
  </r>
  <r>
    <s v="050989"/>
    <s v="Delaware Area Career Center"/>
    <s v="Delaware"/>
    <x v="3"/>
    <n v="1"/>
    <x v="4"/>
    <n v="685.20115699999997"/>
    <n v="20213.434131499998"/>
    <n v="949.18374475685198"/>
    <n v="1.3852629042727258"/>
    <n v="13942.316644090779"/>
    <n v="34155.750775590779"/>
    <n v="0"/>
    <n v="0"/>
    <n v="34155.750775590779"/>
    <n v="49.847771602041796"/>
  </r>
  <r>
    <s v="068205"/>
    <s v="Delaware Christian"/>
    <s v="Delaware"/>
    <x v="0"/>
    <n v="1"/>
    <x v="0"/>
    <n v="306"/>
    <n v="9027"/>
    <n v="311.89920000000001"/>
    <n v="1.0192784313725491"/>
    <n v="311.56795243850542"/>
    <n v="9338.567952438505"/>
    <n v="0"/>
    <n v="0"/>
    <n v="9338.567952438505"/>
    <n v="30.518195923001649"/>
  </r>
  <r>
    <s v="043877"/>
    <s v="Delaware City"/>
    <s v="Delaware"/>
    <x v="1"/>
    <n v="1"/>
    <x v="10"/>
    <n v="5584.4358309999998"/>
    <n v="164740.85701449998"/>
    <n v="6687.2575774035804"/>
    <n v="1.1974813176796946"/>
    <n v="58245.849171348622"/>
    <n v="222986.7061858486"/>
    <n v="2503611.892951231"/>
    <n v="50183.152076691891"/>
    <n v="273169.85826254048"/>
    <n v="48.916285642702817"/>
  </r>
  <r>
    <s v="009467"/>
    <s v="Genoa Christian Academy"/>
    <s v="Delaware"/>
    <x v="0"/>
    <n v="1"/>
    <x v="0"/>
    <n v="299"/>
    <n v="8820.5"/>
    <n v="299"/>
    <n v="1"/>
    <n v="0"/>
    <n v="8820.5"/>
    <n v="0"/>
    <n v="0"/>
    <n v="8820.5"/>
    <n v="29.5"/>
  </r>
  <r>
    <s v="132662"/>
    <s v="Goddard School-Kindergarten"/>
    <s v="Delaware"/>
    <x v="0"/>
    <n v="1"/>
    <x v="0"/>
    <n v="21"/>
    <n v="619.5"/>
    <n v="21"/>
    <n v="1"/>
    <n v="0"/>
    <n v="619.5"/>
    <n v="0"/>
    <n v="0"/>
    <n v="619.5"/>
    <n v="29.5"/>
  </r>
  <r>
    <s v="011933"/>
    <s v="Grace Community School"/>
    <s v="Delaware"/>
    <x v="0"/>
    <n v="1"/>
    <x v="0"/>
    <n v="77"/>
    <n v="2271.5"/>
    <n v="77"/>
    <n v="1"/>
    <n v="0"/>
    <n v="2271.5"/>
    <n v="0"/>
    <n v="0"/>
    <n v="2271.5"/>
    <n v="29.5"/>
  </r>
  <r>
    <s v="046763"/>
    <s v="Olentangy Local"/>
    <s v="Delaware"/>
    <x v="1"/>
    <n v="1"/>
    <x v="11"/>
    <n v="20816.996692000001"/>
    <n v="614101.40241400001"/>
    <n v="24732.484313002798"/>
    <n v="1.1880908989387275"/>
    <n v="206797.60999358466"/>
    <n v="820899.0124075847"/>
    <n v="10087387.449873189"/>
    <n v="202194.63722740844"/>
    <n v="1023093.6496349932"/>
    <n v="49.147034261103066"/>
  </r>
  <r>
    <s v="095166"/>
    <s v="Polaris Christian Academy"/>
    <s v="Delaware"/>
    <x v="0"/>
    <n v="1"/>
    <x v="0"/>
    <n v="147"/>
    <n v="4336.5"/>
    <n v="158.06100000000001"/>
    <n v="1.0752448979591838"/>
    <n v="584.18991082219725"/>
    <n v="4920.6899108221969"/>
    <n v="0"/>
    <n v="0"/>
    <n v="4920.6899108221969"/>
    <n v="33.474081026001336"/>
  </r>
  <r>
    <s v="132910"/>
    <s v="Prep Academy Schools"/>
    <s v="Delaware"/>
    <x v="0"/>
    <n v="1"/>
    <x v="0"/>
    <n v="27"/>
    <n v="796.5"/>
    <n v="27"/>
    <n v="1"/>
    <n v="0"/>
    <n v="796.5"/>
    <n v="0"/>
    <n v="0"/>
    <n v="796.5"/>
    <n v="29.5"/>
  </r>
  <r>
    <s v="058016"/>
    <s v="St Mary"/>
    <s v="Delaware"/>
    <x v="0"/>
    <n v="1"/>
    <x v="0"/>
    <n v="335"/>
    <n v="9882.5"/>
    <n v="357.12200000000001"/>
    <n v="1.0660358208955225"/>
    <n v="1168.3798216443945"/>
    <n v="11050.879821644394"/>
    <n v="0"/>
    <n v="0"/>
    <n v="11050.879821644394"/>
    <n v="32.987700960132521"/>
  </r>
  <r>
    <s v="058115"/>
    <s v="St Paul"/>
    <s v="Delaware"/>
    <x v="0"/>
    <n v="1"/>
    <x v="0"/>
    <n v="763"/>
    <n v="22508.5"/>
    <n v="791.75279999999998"/>
    <n v="1.037683879423329"/>
    <n v="1518.5874394619339"/>
    <n v="24027.087439461935"/>
    <n v="0"/>
    <n v="0"/>
    <n v="24027.087439461935"/>
    <n v="31.490284979635565"/>
  </r>
  <r>
    <s v="046789"/>
    <s v="Edison Local (formerly Berlin-Milan)"/>
    <s v="Erie"/>
    <x v="1"/>
    <n v="1"/>
    <x v="7"/>
    <n v="1463.877512"/>
    <n v="43184.386603999999"/>
    <n v="1695.8185310685999"/>
    <n v="1.1584429142242332"/>
    <n v="12250.031936144545"/>
    <n v="55434.418540144543"/>
    <n v="897472.39461473713"/>
    <n v="17989.207428829508"/>
    <n v="73423.625968974055"/>
    <n v="50.156946443326504"/>
  </r>
  <r>
    <s v="051029"/>
    <s v="EHOVE Career Center"/>
    <s v="Erie"/>
    <x v="3"/>
    <n v="1"/>
    <x v="4"/>
    <n v="809.37978099999998"/>
    <n v="23876.703539499998"/>
    <n v="1048.5300537784999"/>
    <n v="1.2954734951286113"/>
    <n v="12630.790753781386"/>
    <n v="36507.494293281386"/>
    <n v="0"/>
    <n v="0"/>
    <n v="36507.494293281386"/>
    <n v="45.105518015505488"/>
  </r>
  <r>
    <s v="094946"/>
    <s v="Firelands Montessori Academy"/>
    <s v="Erie"/>
    <x v="0"/>
    <n v="1"/>
    <x v="0"/>
    <n v="38"/>
    <n v="1121"/>
    <n v="40.237400000000001"/>
    <n v="1.058878947368421"/>
    <n v="118.16892744540131"/>
    <n v="1239.1689274454013"/>
    <n v="0"/>
    <n v="0"/>
    <n v="1239.1689274454013"/>
    <n v="32.609708616984243"/>
  </r>
  <r>
    <s v="012522"/>
    <s v="Haugland Learning Center - Sandusky"/>
    <s v="Erie"/>
    <x v="0"/>
    <n v="1"/>
    <x v="0"/>
    <n v="22"/>
    <n v="649"/>
    <n v="22"/>
    <n v="1"/>
    <n v="0"/>
    <n v="649"/>
    <n v="0"/>
    <n v="0"/>
    <n v="649"/>
    <n v="29.5"/>
  </r>
  <r>
    <s v="044131"/>
    <s v="Huron City Schools"/>
    <s v="Erie"/>
    <x v="1"/>
    <n v="1"/>
    <x v="10"/>
    <n v="1312.171838"/>
    <n v="38709.069220999998"/>
    <n v="1523.5075008992701"/>
    <n v="1.1610579169427886"/>
    <n v="11161.754096616442"/>
    <n v="49870.823317616436"/>
    <n v="554032.9089818314"/>
    <n v="11105.202769329084"/>
    <n v="60976.026086945523"/>
    <n v="46.46954333350471"/>
  </r>
  <r>
    <s v="046797"/>
    <s v="Kelleys Island Local"/>
    <s v="Erie"/>
    <x v="1"/>
    <n v="1"/>
    <x v="14"/>
    <n v="5"/>
    <n v="147.5"/>
    <n v="5"/>
    <n v="1"/>
    <n v="0"/>
    <n v="147.5"/>
    <n v="0"/>
    <n v="0"/>
    <n v="147.5"/>
    <n v="29.5"/>
  </r>
  <r>
    <s v="046805"/>
    <s v="Margaretta Local"/>
    <s v="Erie"/>
    <x v="1"/>
    <n v="1"/>
    <x v="1"/>
    <n v="1146.66299"/>
    <n v="33826.558205000001"/>
    <n v="1386.74722616228"/>
    <n v="1.2093764586945288"/>
    <n v="12680.118299743021"/>
    <n v="46506.676504743024"/>
    <n v="775121.60815368278"/>
    <n v="15536.771353987157"/>
    <n v="62043.447858730178"/>
    <n v="54.107831507433737"/>
  </r>
  <r>
    <s v="008064"/>
    <s v="Monroe Preparatory Academy"/>
    <s v="Erie"/>
    <x v="4"/>
    <n v="1"/>
    <x v="8"/>
    <n v="211.765038"/>
    <n v="6247.0686210000003"/>
    <n v="288.51130322060402"/>
    <n v="1.3624123507139267"/>
    <n v="4053.3761716988811"/>
    <n v="10300.444792698881"/>
    <n v="0"/>
    <n v="0"/>
    <n v="10300.444792698881"/>
    <n v="48.640913013690586"/>
  </r>
  <r>
    <s v="046813"/>
    <s v="Perkins Local"/>
    <s v="Erie"/>
    <x v="1"/>
    <n v="1"/>
    <x v="10"/>
    <n v="1886.3707730000001"/>
    <n v="55647.937803500005"/>
    <n v="2162.9832052454699"/>
    <n v="1.1466373611193932"/>
    <n v="14609.36552986095"/>
    <n v="70257.303333360949"/>
    <n v="891955.55414827028"/>
    <n v="17878.626214188767"/>
    <n v="88135.92954754972"/>
    <n v="46.722484682787076"/>
  </r>
  <r>
    <s v="053751"/>
    <s v="Sandusky Central Catholic School"/>
    <s v="Erie"/>
    <x v="0"/>
    <n v="1"/>
    <x v="0"/>
    <n v="525"/>
    <n v="15487.5"/>
    <n v="580.67559999999992"/>
    <n v="1.1060487619047616"/>
    <n v="2940.5229001873477"/>
    <n v="18428.022900187349"/>
    <n v="0"/>
    <n v="0"/>
    <n v="18428.022900187349"/>
    <n v="35.100996000356858"/>
  </r>
  <r>
    <s v="044743"/>
    <s v="Sandusky City"/>
    <s v="Erie"/>
    <x v="1"/>
    <n v="1"/>
    <x v="9"/>
    <n v="3193.0526249999998"/>
    <n v="94195.052437499995"/>
    <n v="4500.6748918608901"/>
    <n v="1.4095210509914131"/>
    <n v="69062.447831713434"/>
    <n v="163257.50026921343"/>
    <n v="1620243.3563805206"/>
    <n v="32476.646633375462"/>
    <n v="195734.14690258889"/>
    <n v="61.300006573674594"/>
  </r>
  <r>
    <s v="059287"/>
    <s v="St Mary"/>
    <s v="Erie"/>
    <x v="0"/>
    <n v="1"/>
    <x v="0"/>
    <n v="88"/>
    <n v="2596"/>
    <n v="96.774000000000001"/>
    <n v="1.0997045454545455"/>
    <n v="463.40134504601355"/>
    <n v="3059.4013450460134"/>
    <n v="0"/>
    <n v="0"/>
    <n v="3059.4013450460134"/>
    <n v="34.765924375522879"/>
  </r>
  <r>
    <s v="059360"/>
    <s v="St Peter"/>
    <s v="Erie"/>
    <x v="0"/>
    <n v="1"/>
    <x v="0"/>
    <n v="124"/>
    <n v="3658"/>
    <n v="127.01219999999999"/>
    <n v="1.0242919354838709"/>
    <n v="159.09021330608599"/>
    <n v="3817.0902133060858"/>
    <n v="0"/>
    <n v="0"/>
    <n v="3817.0902133060858"/>
    <n v="30.782985591178111"/>
  </r>
  <r>
    <s v="012867"/>
    <s v="Townsend North Community School"/>
    <s v="Erie"/>
    <x v="4"/>
    <n v="1"/>
    <x v="8"/>
    <n v="1140.244109"/>
    <n v="33637.201215499997"/>
    <n v="1571.0542049944499"/>
    <n v="1.3778226895399377"/>
    <n v="22753.359692640788"/>
    <n v="56390.560908140789"/>
    <n v="0"/>
    <n v="0"/>
    <n v="56390.560908140789"/>
    <n v="49.454814511250234"/>
  </r>
  <r>
    <s v="046821"/>
    <s v="Vermilion Local"/>
    <s v="Erie"/>
    <x v="1"/>
    <n v="1"/>
    <x v="7"/>
    <n v="1823.1190879999999"/>
    <n v="53782.013095999995"/>
    <n v="2186.9884778635601"/>
    <n v="1.1995861884495613"/>
    <n v="19217.866957356513"/>
    <n v="72999.880053356508"/>
    <n v="1068757.6863786355"/>
    <n v="21422.501490616298"/>
    <n v="94422.381543972806"/>
    <n v="51.791669653108698"/>
  </r>
  <r>
    <s v="046847"/>
    <s v="Amanda-Clearcreek Local"/>
    <s v="Fairfield"/>
    <x v="1"/>
    <n v="1"/>
    <x v="3"/>
    <n v="1444.440658"/>
    <n v="42610.999410999997"/>
    <n v="1737.32042245294"/>
    <n v="1.2027634453730116"/>
    <n v="15468.529380470936"/>
    <n v="58079.528791470933"/>
    <n v="1406585.1217817175"/>
    <n v="28194.016522256195"/>
    <n v="86273.545313727125"/>
    <n v="59.727995633398407"/>
  </r>
  <r>
    <s v="046854"/>
    <s v="Berne Union Local"/>
    <s v="Fairfield"/>
    <x v="1"/>
    <n v="1"/>
    <x v="1"/>
    <n v="820.55416300000002"/>
    <n v="24206.347808499999"/>
    <n v="1027.1059940489999"/>
    <n v="1.2517223607687673"/>
    <n v="10909.094635265956"/>
    <n v="35115.442443765955"/>
    <n v="748633.02383791585"/>
    <n v="15005.826178835643"/>
    <n v="50121.268622601594"/>
    <n v="61.082218435593497"/>
  </r>
  <r>
    <s v="046862"/>
    <s v="Bloom-Carroll Local"/>
    <s v="Fairfield"/>
    <x v="1"/>
    <n v="1"/>
    <x v="7"/>
    <n v="2035.1642899999999"/>
    <n v="60037.346554999996"/>
    <n v="2300.9969678873599"/>
    <n v="1.1306197633250337"/>
    <n v="14040.029688874658"/>
    <n v="74077.376243874649"/>
    <n v="1831622.3021747791"/>
    <n v="36713.589992076275"/>
    <n v="110790.96623595092"/>
    <n v="54.438340324825042"/>
  </r>
  <r>
    <s v="134510"/>
    <s v="Fairfield Christian Academy"/>
    <s v="Fairfield"/>
    <x v="0"/>
    <n v="1"/>
    <x v="0"/>
    <n v="446"/>
    <n v="13157"/>
    <n v="478.49680000000001"/>
    <n v="1.0728627802690582"/>
    <n v="1716.3278812048434"/>
    <n v="14873.327881204843"/>
    <n v="0"/>
    <n v="0"/>
    <n v="14873.327881204843"/>
    <n v="33.348268791939113"/>
  </r>
  <r>
    <n v="68890"/>
    <s v="Fairfield County Board of DD"/>
    <s v="Fairfield"/>
    <x v="2"/>
    <n v="1"/>
    <x v="2"/>
    <n v="25.400000000000002"/>
    <n v="749.30000000000007"/>
    <n v="114.722138"/>
    <n v="4.5166196062992121"/>
    <n v="4717.5745260526137"/>
    <n v="5466.8745260526139"/>
    <n v="0"/>
    <n v="0"/>
    <n v="5466.8745260526139"/>
    <n v="215.2312805532525"/>
  </r>
  <r>
    <s v="046870"/>
    <s v="Fairfield Union Local"/>
    <s v="Fairfield"/>
    <x v="1"/>
    <n v="1"/>
    <x v="3"/>
    <n v="1901.882321"/>
    <n v="56105.528469500001"/>
    <n v="2298.46743089656"/>
    <n v="1.2085224230319558"/>
    <n v="20945.75716335616"/>
    <n v="77051.285632856161"/>
    <n v="1844206.5766748616"/>
    <n v="36965.832986603695"/>
    <n v="114017.11861945986"/>
    <n v="59.949617997137821"/>
  </r>
  <r>
    <s v="015557"/>
    <s v="Haugland Learning Center Lancaster"/>
    <s v="Fairfield"/>
    <x v="0"/>
    <n v="1"/>
    <x v="0"/>
    <n v="20"/>
    <n v="590"/>
    <n v="20"/>
    <n v="1"/>
    <n v="0"/>
    <n v="590"/>
    <n v="0"/>
    <n v="0"/>
    <n v="590"/>
    <n v="29.5"/>
  </r>
  <r>
    <s v="044206"/>
    <s v="Lancaster City"/>
    <s v="Fairfield"/>
    <x v="1"/>
    <n v="1"/>
    <x v="6"/>
    <n v="6405.2519510000002"/>
    <n v="188954.9325545"/>
    <n v="8164.8583287466899"/>
    <n v="1.2747130622195082"/>
    <n v="92934.119238586703"/>
    <n v="281889.05179308669"/>
    <n v="2153348.5588777349"/>
    <n v="43162.368140416758"/>
    <n v="325051.41993350344"/>
    <n v="50.747639971095246"/>
  </r>
  <r>
    <s v="046888"/>
    <s v="Liberty Union-Thurston Local"/>
    <s v="Fairfield"/>
    <x v="1"/>
    <n v="1"/>
    <x v="7"/>
    <n v="1223.687817"/>
    <n v="36098.790601499997"/>
    <n v="1461.76840408834"/>
    <n v="1.1945599063591397"/>
    <n v="12574.294994994452"/>
    <n v="48673.085596494449"/>
    <n v="748198.70734509313"/>
    <n v="14997.120608028081"/>
    <n v="63670.206204522532"/>
    <n v="52.031413012361902"/>
  </r>
  <r>
    <s v="046896"/>
    <s v="Pickerington Local"/>
    <s v="Fairfield"/>
    <x v="1"/>
    <n v="1"/>
    <x v="11"/>
    <n v="10403.417576"/>
    <n v="306900.81849199999"/>
    <n v="12804.203173277099"/>
    <n v="1.2307689352790716"/>
    <n v="126798.18497211132"/>
    <n v="433699.0034641113"/>
    <n v="5615228.1136369426"/>
    <n v="112553.32632239079"/>
    <n v="546252.32978650206"/>
    <n v="52.50700799001573"/>
  </r>
  <r>
    <s v="057810"/>
    <s v="St Bernadette"/>
    <s v="Fairfield"/>
    <x v="0"/>
    <n v="1"/>
    <x v="0"/>
    <n v="88"/>
    <n v="2596"/>
    <n v="97.036600000000007"/>
    <n v="1.1026886363636363"/>
    <n v="477.27063991825946"/>
    <n v="3073.2706399182593"/>
    <n v="0"/>
    <n v="0"/>
    <n v="3073.2706399182593"/>
    <n v="34.923529999071128"/>
  </r>
  <r>
    <s v="058024"/>
    <s v="St Mary"/>
    <s v="Fairfield"/>
    <x v="0"/>
    <n v="1"/>
    <x v="0"/>
    <n v="190"/>
    <n v="5605"/>
    <n v="197.44299999999998"/>
    <n v="1.0391736842105261"/>
    <n v="393.10419548409743"/>
    <n v="5998.1041954840975"/>
    <n v="0"/>
    <n v="0"/>
    <n v="5998.1041954840975"/>
    <n v="31.568969449916302"/>
  </r>
  <r>
    <s v="046904"/>
    <s v="Walnut Township Local"/>
    <s v="Fairfield"/>
    <x v="1"/>
    <n v="1"/>
    <x v="3"/>
    <n v="487.92303399999997"/>
    <n v="14393.729502999999"/>
    <n v="622.10813744777397"/>
    <n v="1.2750128485382677"/>
    <n v="7087.0250083014507"/>
    <n v="21480.754511301449"/>
    <n v="254854.5939414704"/>
    <n v="5108.3823659793979"/>
    <n v="26589.136877280849"/>
    <n v="54.494530949487519"/>
  </r>
  <r>
    <s v="052670"/>
    <s v="Wm V Fisher Catholic"/>
    <s v="Fairfield"/>
    <x v="0"/>
    <n v="1"/>
    <x v="0"/>
    <n v="163"/>
    <n v="4808.5"/>
    <n v="173.3236"/>
    <n v="1.0633349693251535"/>
    <n v="545.24391676738367"/>
    <n v="5353.7439167673838"/>
    <n v="0"/>
    <n v="0"/>
    <n v="5353.7439167673838"/>
    <n v="32.84505470409438"/>
  </r>
  <r>
    <s v="017547"/>
    <s v="Fayette Christian School"/>
    <s v="Fayette"/>
    <x v="0"/>
    <n v="1"/>
    <x v="0"/>
    <n v="111"/>
    <n v="3274.5"/>
    <n v="114.687"/>
    <n v="1.0332162162162162"/>
    <n v="194.72997027406547"/>
    <n v="3469.2299702740656"/>
    <n v="0"/>
    <n v="0"/>
    <n v="3469.2299702740656"/>
    <n v="31.254324056523114"/>
  </r>
  <r>
    <s v="046920"/>
    <s v="Miami Trace Local"/>
    <s v="Fayette"/>
    <x v="1"/>
    <n v="1"/>
    <x v="1"/>
    <n v="2459.4034839999999"/>
    <n v="72552.402778000003"/>
    <n v="2962.15099690734"/>
    <n v="1.2044184763411272"/>
    <n v="26552.755151561363"/>
    <n v="99105.157929561363"/>
    <n v="4109883.0371982567"/>
    <n v="82379.735474900168"/>
    <n v="181484.89340446153"/>
    <n v="73.792240510813855"/>
  </r>
  <r>
    <s v="045013"/>
    <s v="Washington Court House City"/>
    <s v="Fayette"/>
    <x v="1"/>
    <n v="1"/>
    <x v="6"/>
    <n v="2161.465111"/>
    <n v="63763.220774499998"/>
    <n v="2764.2721130263099"/>
    <n v="1.2788881481170065"/>
    <n v="31837.425979273648"/>
    <n v="95600.646753773646"/>
    <n v="949455.98229973146"/>
    <n v="19031.182142894719"/>
    <n v="114631.82889666836"/>
    <n v="53.034318395097316"/>
  </r>
  <r>
    <s v="000556"/>
    <s v="A+ Arts Academy"/>
    <s v="Franklin"/>
    <x v="4"/>
    <n v="1"/>
    <x v="8"/>
    <n v="685.66666099999998"/>
    <n v="20227.166499499999"/>
    <n v="910.04039127253498"/>
    <n v="1.3272344172973214"/>
    <n v="11850.363391985884"/>
    <n v="32077.529891485883"/>
    <n v="0"/>
    <n v="0"/>
    <n v="32077.529891485883"/>
    <n v="46.782980296435738"/>
  </r>
  <r>
    <s v="013232"/>
    <s v="A+ Children's Academy"/>
    <s v="Franklin"/>
    <x v="4"/>
    <n v="1"/>
    <x v="8"/>
    <n v="127.98147400000001"/>
    <n v="3775.4534830000002"/>
    <n v="188.97615797705299"/>
    <n v="1.4765899475189119"/>
    <n v="3221.4518572626939"/>
    <n v="6996.9053402626942"/>
    <n v="0"/>
    <n v="0"/>
    <n v="6996.9053402626942"/>
    <n v="54.671235777943096"/>
  </r>
  <r>
    <s v="057588"/>
    <s v="All Saints Academy"/>
    <s v="Franklin"/>
    <x v="0"/>
    <n v="1"/>
    <x v="0"/>
    <n v="337"/>
    <n v="9941.5"/>
    <n v="419.73259999999999"/>
    <n v="1.2454973293768545"/>
    <n v="4369.5461726867798"/>
    <n v="14311.04617268678"/>
    <n v="0"/>
    <n v="0"/>
    <n v="14311.04617268678"/>
    <n v="42.466012381859883"/>
  </r>
  <r>
    <s v="143610"/>
    <s v="Arts &amp; College Preparatory Academy"/>
    <s v="Franklin"/>
    <x v="4"/>
    <n v="1"/>
    <x v="8"/>
    <n v="393.40853099999998"/>
    <n v="11605.551664499999"/>
    <n v="447.45558443276002"/>
    <n v="1.1373814982999442"/>
    <n v="2854.510742707404"/>
    <n v="14460.062407207402"/>
    <n v="0"/>
    <n v="0"/>
    <n v="14460.062407207402"/>
    <n v="36.755843525943781"/>
  </r>
  <r>
    <s v="098525"/>
    <s v="Beautiful Savior Lutheran"/>
    <s v="Franklin"/>
    <x v="0"/>
    <n v="1"/>
    <x v="0"/>
    <n v="45"/>
    <n v="1327.5"/>
    <n v="45"/>
    <n v="1"/>
    <n v="0"/>
    <n v="1327.5"/>
    <n v="0"/>
    <n v="0"/>
    <n v="1327.5"/>
    <n v="29.5"/>
  </r>
  <r>
    <s v="043620"/>
    <s v="Bexley City"/>
    <s v="Franklin"/>
    <x v="1"/>
    <n v="1"/>
    <x v="11"/>
    <n v="2490.4432700000002"/>
    <n v="73468.076465000006"/>
    <n v="2975.5388704027901"/>
    <n v="1.1947828349460012"/>
    <n v="25620.464292518383"/>
    <n v="99088.540757518393"/>
    <n v="253377.48042004602"/>
    <n v="5078.774656937564"/>
    <n v="104167.31541445595"/>
    <n v="41.826817205298532"/>
  </r>
  <r>
    <s v="052696"/>
    <s v="Bishop Hartley"/>
    <s v="Franklin"/>
    <x v="0"/>
    <n v="1"/>
    <x v="0"/>
    <n v="716"/>
    <n v="21122"/>
    <n v="758.49680000000001"/>
    <n v="1.0593530726256983"/>
    <n v="2244.4807704754307"/>
    <n v="23366.480770475431"/>
    <n v="0"/>
    <n v="0"/>
    <n v="23366.480770475431"/>
    <n v="32.634749679434961"/>
  </r>
  <r>
    <s v="052704"/>
    <s v="Bishop Ready"/>
    <s v="Franklin"/>
    <x v="0"/>
    <n v="1"/>
    <x v="0"/>
    <n v="424"/>
    <n v="12508"/>
    <n v="462.88719999999995"/>
    <n v="1.0917150943396225"/>
    <n v="2053.8387035643163"/>
    <n v="14561.838703564317"/>
    <n v="0"/>
    <n v="0"/>
    <n v="14561.838703564317"/>
    <n v="34.343959206519614"/>
  </r>
  <r>
    <s v="052720"/>
    <s v="Bishop Watterson"/>
    <s v="Franklin"/>
    <x v="0"/>
    <n v="1"/>
    <x v="0"/>
    <n v="881"/>
    <n v="25989.5"/>
    <n v="892.79840000000002"/>
    <n v="1.0133920544835415"/>
    <n v="623.13590487701083"/>
    <n v="26612.63590487701"/>
    <n v="0"/>
    <n v="0"/>
    <n v="26612.63590487701"/>
    <n v="30.207305226875153"/>
  </r>
  <r>
    <s v="122457"/>
    <s v="Brice Christian Academy"/>
    <s v="Franklin"/>
    <x v="0"/>
    <n v="1"/>
    <x v="0"/>
    <n v="233"/>
    <n v="6873.5"/>
    <n v="273.31300000000005"/>
    <n v="1.1730171673819745"/>
    <n v="2129.1427425165216"/>
    <n v="9002.642742516522"/>
    <n v="0"/>
    <n v="0"/>
    <n v="9002.642742516522"/>
    <n v="38.637951684620269"/>
  </r>
  <r>
    <s v="015710"/>
    <s v="Bridge Gate Community School"/>
    <s v="Franklin"/>
    <x v="4"/>
    <n v="1"/>
    <x v="8"/>
    <n v="247.32978"/>
    <n v="7296.2285099999999"/>
    <n v="386.24146925281599"/>
    <n v="1.5616456265509797"/>
    <n v="7336.6610032332783"/>
    <n v="14632.889513233278"/>
    <n v="0"/>
    <n v="0"/>
    <n v="14632.889513233278"/>
    <n v="59.16347604090894"/>
  </r>
  <r>
    <s v="091777"/>
    <s v="Calumet Christian"/>
    <s v="Franklin"/>
    <x v="0"/>
    <n v="1"/>
    <x v="0"/>
    <n v="237"/>
    <n v="6991.5"/>
    <n v="249.05260000000001"/>
    <n v="1.0508548523206751"/>
    <n v="636.56155132226888"/>
    <n v="7628.0615513222692"/>
    <n v="0"/>
    <n v="0"/>
    <n v="7628.0615513222692"/>
    <n v="32.185913718659364"/>
  </r>
  <r>
    <s v="046946"/>
    <s v="Canal Winchester Local"/>
    <s v="Franklin"/>
    <x v="1"/>
    <n v="1"/>
    <x v="10"/>
    <n v="3811.632826"/>
    <n v="112443.16836700001"/>
    <n v="4636.5189777577098"/>
    <n v="1.2164128050663685"/>
    <n v="43566.600437013069"/>
    <n v="156009.76880401309"/>
    <n v="2460655.0877751615"/>
    <n v="49322.112914452417"/>
    <n v="205331.88171846551"/>
    <n v="53.869795725824062"/>
  </r>
  <r>
    <s v="017537"/>
    <s v="Capital Collegiate Preparatory Academy"/>
    <s v="Franklin"/>
    <x v="4"/>
    <n v="1"/>
    <x v="8"/>
    <n v="135.21"/>
    <n v="3988.6950000000002"/>
    <n v="162.21843000000001"/>
    <n v="1.1997517195473708"/>
    <n v="1426.4580339162417"/>
    <n v="5415.1530339162418"/>
    <n v="0"/>
    <n v="0"/>
    <n v="5415.1530339162418"/>
    <n v="40.049944781571199"/>
  </r>
  <r>
    <s v="012044"/>
    <s v="Capital High School"/>
    <s v="Franklin"/>
    <x v="4"/>
    <n v="1"/>
    <x v="8"/>
    <n v="135.88172299999999"/>
    <n v="4008.5108284999997"/>
    <n v="189.99009900581001"/>
    <n v="1.3982020157766915"/>
    <n v="2857.7495121207889"/>
    <n v="6866.2603406207891"/>
    <n v="0"/>
    <n v="0"/>
    <n v="6866.2603406207891"/>
    <n v="50.531154514583164"/>
  </r>
  <r>
    <s v="134387"/>
    <s v="Central College Christian Academy"/>
    <s v="Franklin"/>
    <x v="0"/>
    <n v="1"/>
    <x v="0"/>
    <n v="140"/>
    <n v="4130"/>
    <n v="148.1114"/>
    <n v="1.0579385714285714"/>
    <n v="428.40593460294451"/>
    <n v="4558.4059346029444"/>
    <n v="0"/>
    <n v="0"/>
    <n v="4558.4059346029444"/>
    <n v="32.560042390021032"/>
  </r>
  <r>
    <s v="012041"/>
    <s v="Central High School"/>
    <s v="Franklin"/>
    <x v="4"/>
    <n v="1"/>
    <x v="8"/>
    <n v="142.11219700000001"/>
    <n v="4192.3098115000003"/>
    <n v="205.449465260224"/>
    <n v="1.4456849559522607"/>
    <n v="3345.1761230143579"/>
    <n v="7537.4859345143577"/>
    <n v="0"/>
    <n v="0"/>
    <n v="7537.4859345143577"/>
    <n v="53.038979719062098"/>
  </r>
  <r>
    <s v="010036"/>
    <s v="Cesar Chavez College Preparatory School"/>
    <s v="Franklin"/>
    <x v="4"/>
    <n v="1"/>
    <x v="8"/>
    <n v="326.04517700000002"/>
    <n v="9618.3327215000008"/>
    <n v="452.01886816054201"/>
    <n v="1.3863688226265098"/>
    <n v="6653.3368958520923"/>
    <n v="16271.669617352094"/>
    <n v="0"/>
    <n v="0"/>
    <n v="16271.669617352094"/>
    <n v="49.906180999426631"/>
  </r>
  <r>
    <s v="007999"/>
    <s v="Charles School at Ohio Dominican University"/>
    <s v="Franklin"/>
    <x v="4"/>
    <n v="1"/>
    <x v="8"/>
    <n v="340.00445000000002"/>
    <n v="10030.131275"/>
    <n v="437.95803519451601"/>
    <n v="1.2880950093286014"/>
    <n v="5173.4469034896265"/>
    <n v="15203.578178489626"/>
    <n v="0"/>
    <n v="0"/>
    <n v="15203.578178489626"/>
    <n v="44.715821156133764"/>
  </r>
  <r>
    <s v="099127"/>
    <s v="Children's Academy"/>
    <s v="Franklin"/>
    <x v="0"/>
    <n v="1"/>
    <x v="0"/>
    <n v="20"/>
    <n v="590"/>
    <n v="20"/>
    <n v="1"/>
    <n v="0"/>
    <n v="590"/>
    <n v="0"/>
    <n v="0"/>
    <n v="590"/>
    <n v="29.5"/>
  </r>
  <r>
    <s v="086546"/>
    <s v="Clintonville Academy"/>
    <s v="Franklin"/>
    <x v="0"/>
    <n v="1"/>
    <x v="0"/>
    <n v="107"/>
    <n v="3156.5"/>
    <n v="122.6264"/>
    <n v="1.1460411214953272"/>
    <n v="825.31283088979114"/>
    <n v="3981.8128308897913"/>
    <n v="0"/>
    <n v="0"/>
    <n v="3981.8128308897913"/>
    <n v="37.213204027007393"/>
  </r>
  <r>
    <s v="052910"/>
    <s v="Columbus Academy"/>
    <s v="Franklin"/>
    <x v="0"/>
    <n v="1"/>
    <x v="0"/>
    <n v="1069"/>
    <n v="31535.5"/>
    <n v="1069"/>
    <n v="1"/>
    <n v="0"/>
    <n v="31535.5"/>
    <n v="0"/>
    <n v="0"/>
    <n v="31535.5"/>
    <n v="29.5"/>
  </r>
  <r>
    <s v="000468"/>
    <s v="Columbus Adventist Academy"/>
    <s v="Franklin"/>
    <x v="0"/>
    <n v="1"/>
    <x v="0"/>
    <n v="159"/>
    <n v="4690.5"/>
    <n v="169.1"/>
    <n v="1.0635220125786162"/>
    <n v="533.434418163293"/>
    <n v="5223.9344181632932"/>
    <n v="0"/>
    <n v="0"/>
    <n v="5223.9344181632932"/>
    <n v="32.85493344756788"/>
  </r>
  <r>
    <s v="000557"/>
    <s v="Columbus Arts &amp; Technology Academy"/>
    <s v="Franklin"/>
    <x v="4"/>
    <n v="1"/>
    <x v="8"/>
    <n v="568.80248500000005"/>
    <n v="16779.673307500001"/>
    <n v="733.04362072277297"/>
    <n v="1.2887489771124556"/>
    <n v="8674.4430369065212"/>
    <n v="25454.116344406524"/>
    <n v="0"/>
    <n v="0"/>
    <n v="25454.116344406524"/>
    <n v="44.750360653587023"/>
  </r>
  <r>
    <s v="011468"/>
    <s v="Columbus Bilingual Academy-North"/>
    <s v="Franklin"/>
    <x v="4"/>
    <n v="1"/>
    <x v="8"/>
    <n v="296.35630500000002"/>
    <n v="8742.5109975000014"/>
    <n v="434.62800693421201"/>
    <n v="1.4665724993912714"/>
    <n v="7302.8598880915542"/>
    <n v="16045.370885591556"/>
    <n v="0"/>
    <n v="0"/>
    <n v="16045.370885591556"/>
    <n v="54.142161360769954"/>
  </r>
  <r>
    <s v="043802"/>
    <s v="Columbus City School District"/>
    <s v="Franklin"/>
    <x v="1"/>
    <n v="1"/>
    <x v="13"/>
    <n v="48926.242498"/>
    <n v="1443324.1536910001"/>
    <n v="71965.729877615493"/>
    <n v="1.470902448324277"/>
    <n v="1216837.1826857158"/>
    <n v="2660161.3363767159"/>
    <n v="57281581.494708814"/>
    <n v="1148169.3002959334"/>
    <n v="3808330.6366726495"/>
    <n v="77.838199751970038"/>
  </r>
  <r>
    <s v="009122"/>
    <s v="Columbus Collegiate Academy"/>
    <s v="Franklin"/>
    <x v="4"/>
    <n v="1"/>
    <x v="8"/>
    <n v="237.35503"/>
    <n v="7001.9733850000002"/>
    <n v="324.56136400451197"/>
    <n v="1.3674088305797099"/>
    <n v="4605.8277267178883"/>
    <n v="11607.801111717888"/>
    <n v="0"/>
    <n v="0"/>
    <n v="11607.801111717888"/>
    <n v="48.904803541420158"/>
  </r>
  <r>
    <s v="012951"/>
    <s v="Columbus Collegiate Academy - West"/>
    <s v="Franklin"/>
    <x v="4"/>
    <n v="1"/>
    <x v="8"/>
    <n v="239.976328"/>
    <n v="7079.301676"/>
    <n v="329.53983949171101"/>
    <n v="1.3732181096283422"/>
    <n v="4730.3227367566633"/>
    <n v="11809.624412756664"/>
    <n v="0"/>
    <n v="0"/>
    <n v="11809.624412756664"/>
    <n v="49.211622292831585"/>
  </r>
  <r>
    <s v="000553"/>
    <s v="Columbus Humanities, Arts and Technology Academy"/>
    <s v="Franklin"/>
    <x v="4"/>
    <n v="1"/>
    <x v="8"/>
    <n v="559.96551899999997"/>
    <n v="16518.982810499998"/>
    <n v="750.33049095583203"/>
    <n v="1.3399583822514474"/>
    <n v="10054.180995438706"/>
    <n v="26573.163805938704"/>
    <n v="0"/>
    <n v="0"/>
    <n v="26573.163805938704"/>
    <n v="47.455000181785664"/>
  </r>
  <r>
    <s v="132316"/>
    <s v="Columbus Jewish Day School"/>
    <s v="Franklin"/>
    <x v="0"/>
    <n v="1"/>
    <x v="0"/>
    <n v="59"/>
    <n v="1740.5"/>
    <n v="64.161799999999999"/>
    <n v="1.0874881355932204"/>
    <n v="272.62195838369183"/>
    <n v="2013.1219583836919"/>
    <n v="0"/>
    <n v="0"/>
    <n v="2013.1219583836919"/>
    <n v="34.120711159045626"/>
  </r>
  <r>
    <s v="097279"/>
    <s v="Columbus Montessori Ed Ctr"/>
    <s v="Franklin"/>
    <x v="0"/>
    <n v="1"/>
    <x v="0"/>
    <n v="136"/>
    <n v="4012"/>
    <n v="146.9682"/>
    <n v="1.0806485294117647"/>
    <n v="579.28865200976554"/>
    <n v="4591.2886520097654"/>
    <n v="0"/>
    <n v="0"/>
    <n v="4591.2886520097654"/>
    <n v="33.759475382424746"/>
  </r>
  <r>
    <s v="012011"/>
    <s v="Columbus Performance Academy"/>
    <s v="Franklin"/>
    <x v="4"/>
    <n v="1"/>
    <x v="8"/>
    <n v="193.343377"/>
    <n v="5703.6296215000002"/>
    <n v="285.30861827663898"/>
    <n v="1.4756575720545058"/>
    <n v="4857.1707892723571"/>
    <n v="10560.800410772357"/>
    <n v="0"/>
    <n v="0"/>
    <n v="10560.800410772357"/>
    <n v="54.621992098401989"/>
  </r>
  <r>
    <s v="000558"/>
    <s v="Columbus Preparatory Academy"/>
    <s v="Franklin"/>
    <x v="4"/>
    <n v="1"/>
    <x v="8"/>
    <n v="810.29536900000005"/>
    <n v="23903.713385500003"/>
    <n v="873.33496152713496"/>
    <n v="1.0777982880550498"/>
    <n v="3329.4542931646838"/>
    <n v="27233.167678664686"/>
    <n v="0"/>
    <n v="0"/>
    <n v="27233.167678664686"/>
    <n v="33.608939061657999"/>
  </r>
  <r>
    <s v="000952"/>
    <s v="Columbus Preparatory and Fitness Academy"/>
    <s v="Franklin"/>
    <x v="4"/>
    <n v="1"/>
    <x v="8"/>
    <n v="418.94578100000001"/>
    <n v="12358.9005395"/>
    <n v="635.23517833362598"/>
    <n v="1.5162706181629406"/>
    <n v="11423.387012034866"/>
    <n v="23782.287551534864"/>
    <n v="0"/>
    <n v="0"/>
    <n v="23782.287551534864"/>
    <n v="56.766981862826931"/>
  </r>
  <r>
    <s v="052928"/>
    <s v="Columbus School For Girls"/>
    <s v="Franklin"/>
    <x v="0"/>
    <n v="1"/>
    <x v="0"/>
    <n v="504"/>
    <n v="14868"/>
    <n v="504"/>
    <n v="1"/>
    <n v="0"/>
    <n v="14868"/>
    <n v="0"/>
    <n v="0"/>
    <n v="14868"/>
    <n v="29.5"/>
  </r>
  <r>
    <s v="062620"/>
    <s v="Columbus Torah Academy"/>
    <s v="Franklin"/>
    <x v="0"/>
    <n v="1"/>
    <x v="0"/>
    <n v="212"/>
    <n v="6254"/>
    <n v="253.239"/>
    <n v="1.1945235849056604"/>
    <n v="2178.0497000629762"/>
    <n v="8432.0497000629766"/>
    <n v="0"/>
    <n v="0"/>
    <n v="8432.0497000629766"/>
    <n v="39.773819339919704"/>
  </r>
  <r>
    <s v="133439"/>
    <s v="Cornerstone Academy Community School"/>
    <s v="Franklin"/>
    <x v="4"/>
    <n v="1"/>
    <x v="8"/>
    <n v="794.40463199999999"/>
    <n v="23434.936644000001"/>
    <n v="938.64445563458298"/>
    <n v="1.1815697162684506"/>
    <n v="7618.0679600484982"/>
    <n v="31053.004604048499"/>
    <n v="0"/>
    <n v="0"/>
    <n v="31053.004604048499"/>
    <n v="39.089657025122307"/>
  </r>
  <r>
    <s v="014040"/>
    <s v="Cristo Rey Columbus High School"/>
    <s v="Franklin"/>
    <x v="0"/>
    <n v="1"/>
    <x v="0"/>
    <n v="407"/>
    <n v="12006.5"/>
    <n v="431.89659999999998"/>
    <n v="1.0611710073710072"/>
    <n v="1314.9211223014097"/>
    <n v="13321.42112230141"/>
    <n v="0"/>
    <n v="0"/>
    <n v="13321.42112230141"/>
    <n v="32.730764428258993"/>
  </r>
  <r>
    <s v="123950"/>
    <s v="Cypress Christian"/>
    <s v="Franklin"/>
    <x v="0"/>
    <n v="1"/>
    <x v="0"/>
    <n v="367"/>
    <n v="10826.5"/>
    <n v="395.7448"/>
    <n v="1.0783237057220709"/>
    <n v="1518.1649171505182"/>
    <n v="12344.664917150518"/>
    <n v="0"/>
    <n v="0"/>
    <n v="12344.664917150518"/>
    <n v="33.636689147549092"/>
  </r>
  <r>
    <s v="047027"/>
    <s v="Dublin City"/>
    <s v="Franklin"/>
    <x v="1"/>
    <n v="1"/>
    <x v="11"/>
    <n v="15709.460734"/>
    <n v="463429.09165299998"/>
    <n v="19347.781703945799"/>
    <n v="1.2316006278987908"/>
    <n v="192158.97323706397"/>
    <n v="655588.06489006395"/>
    <n v="9040320.8804557901"/>
    <n v="181206.9190289804"/>
    <n v="836794.98391904437"/>
    <n v="53.26694519233039"/>
  </r>
  <r>
    <s v="143032"/>
    <s v="Dublin Prep Academy"/>
    <s v="Franklin"/>
    <x v="0"/>
    <n v="1"/>
    <x v="0"/>
    <n v="17"/>
    <n v="501.5"/>
    <n v="17"/>
    <n v="1"/>
    <n v="0"/>
    <n v="501.5"/>
    <n v="0"/>
    <n v="0"/>
    <n v="501.5"/>
    <n v="29.5"/>
  </r>
  <r>
    <s v="000912"/>
    <s v="Early College Academy"/>
    <s v="Franklin"/>
    <x v="4"/>
    <n v="1"/>
    <x v="8"/>
    <n v="160.51786000000001"/>
    <n v="4735.2768700000006"/>
    <n v="202.61266514131199"/>
    <n v="1.262243747464064"/>
    <n v="2223.2492958666303"/>
    <n v="6958.5261658666313"/>
    <n v="0"/>
    <n v="0"/>
    <n v="6958.5261658666313"/>
    <n v="43.350479291629171"/>
  </r>
  <r>
    <s v="000938"/>
    <s v="East Bridge Academy of Excellence"/>
    <s v="Franklin"/>
    <x v="4"/>
    <n v="1"/>
    <x v="8"/>
    <n v="62.691332000000003"/>
    <n v="1849.3942940000002"/>
    <n v="90.536965774651406"/>
    <n v="1.4441703962303976"/>
    <n v="1470.6751931652793"/>
    <n v="3320.0694871652795"/>
    <n v="0"/>
    <n v="0"/>
    <n v="3320.0694871652795"/>
    <n v="52.958987809754618"/>
  </r>
  <r>
    <s v="014090"/>
    <s v="Eastland Preparatory Academy"/>
    <s v="Franklin"/>
    <x v="4"/>
    <n v="1"/>
    <x v="8"/>
    <n v="253.659852"/>
    <n v="7482.9656340000001"/>
    <n v="334.36388122816498"/>
    <n v="1.3181584653300396"/>
    <n v="4262.4066212633279"/>
    <n v="11745.372255263328"/>
    <n v="0"/>
    <n v="0"/>
    <n v="11745.372255263328"/>
    <n v="46.303631270995645"/>
  </r>
  <r>
    <s v="051003"/>
    <s v="Eastland-Fairfield Career/Tech"/>
    <s v="Franklin"/>
    <x v="3"/>
    <n v="1"/>
    <x v="4"/>
    <n v="1093.6206549999999"/>
    <n v="32261.809322499998"/>
    <n v="1317.7085264847001"/>
    <n v="1.2049045713064921"/>
    <n v="11835.265677514048"/>
    <n v="44097.075000014047"/>
    <n v="0"/>
    <n v="0"/>
    <n v="44097.075000014047"/>
    <n v="40.322094136027495"/>
  </r>
  <r>
    <s v="070276"/>
    <s v="Eastwood Seventh-day Adventist Junior Academy"/>
    <s v="Franklin"/>
    <x v="0"/>
    <n v="1"/>
    <x v="0"/>
    <n v="81"/>
    <n v="2389.5"/>
    <n v="86.252600000000001"/>
    <n v="1.064846913580247"/>
    <n v="277.41758661826884"/>
    <n v="2666.9175866182686"/>
    <n v="0"/>
    <n v="0"/>
    <n v="2666.9175866182686"/>
    <n v="32.924908476768749"/>
  </r>
  <r>
    <s v="000779"/>
    <s v="Educational Academy for Boys &amp; Girls"/>
    <s v="Franklin"/>
    <x v="4"/>
    <n v="1"/>
    <x v="8"/>
    <n v="129.289772"/>
    <n v="3814.0482739999998"/>
    <n v="179.81640680898499"/>
    <n v="1.3908014843508656"/>
    <n v="2668.5788159485264"/>
    <n v="6482.6270899485262"/>
    <n v="0"/>
    <n v="0"/>
    <n v="6482.6270899485262"/>
    <n v="50.140293309114398"/>
  </r>
  <r>
    <s v="011956"/>
    <s v="Everest High School"/>
    <s v="Franklin"/>
    <x v="4"/>
    <n v="1"/>
    <x v="8"/>
    <n v="52.310594999999999"/>
    <n v="1543.1625524999999"/>
    <n v="61.364190703496803"/>
    <n v="1.1730738429470513"/>
    <n v="478.16827290896134"/>
    <n v="2021.3308254089613"/>
    <n v="0"/>
    <n v="0"/>
    <n v="2021.3308254089613"/>
    <n v="38.640945020964899"/>
  </r>
  <r>
    <s v="015237"/>
    <s v="Flex High School"/>
    <s v="Franklin"/>
    <x v="4"/>
    <n v="1"/>
    <x v="8"/>
    <n v="236.6825"/>
    <n v="6982.13375"/>
    <n v="365.39413418526698"/>
    <n v="1.5438155934015696"/>
    <n v="6797.9421477687665"/>
    <n v="13780.075897768766"/>
    <n v="0"/>
    <n v="0"/>
    <n v="13780.075897768766"/>
    <n v="58.221777688543789"/>
  </r>
  <r>
    <s v="142943"/>
    <s v="Focus Learning Academy of Northern Columbus"/>
    <s v="Franklin"/>
    <x v="4"/>
    <n v="1"/>
    <x v="8"/>
    <n v="481.97449999999998"/>
    <n v="14218.247749999999"/>
    <n v="666.72152232323197"/>
    <n v="1.3833128564337573"/>
    <n v="9757.4673624152711"/>
    <n v="23975.71511241527"/>
    <n v="230347.09"/>
    <n v="4617.1465635063623"/>
    <n v="28592.861675921631"/>
    <n v="59.324428317103148"/>
  </r>
  <r>
    <s v="142935"/>
    <s v="Focus Learning Academy of Southeastern Columbus"/>
    <s v="Franklin"/>
    <x v="4"/>
    <n v="1"/>
    <x v="8"/>
    <n v="219.52598499999999"/>
    <n v="6476.0165575000001"/>
    <n v="318.88980022235199"/>
    <n v="1.4526289460555297"/>
    <n v="5247.9286098633993"/>
    <n v="11723.945167363399"/>
    <n v="0"/>
    <n v="0"/>
    <n v="11723.945167363399"/>
    <n v="53.405728562672884"/>
  </r>
  <r>
    <s v="142927"/>
    <s v="Focus Learning Academy of Southwest Columbus"/>
    <s v="Franklin"/>
    <x v="4"/>
    <n v="1"/>
    <x v="8"/>
    <n v="233.91559799999999"/>
    <n v="6900.5101409999997"/>
    <n v="341.56731561331799"/>
    <n v="1.4602160716675165"/>
    <n v="5685.6565692415297"/>
    <n v="12586.16671024153"/>
    <n v="0"/>
    <n v="0"/>
    <n v="12586.16671024153"/>
    <n v="53.806444793995873"/>
  </r>
  <r>
    <s v="012529"/>
    <s v="Focus North High School"/>
    <s v="Franklin"/>
    <x v="4"/>
    <n v="1"/>
    <x v="8"/>
    <n v="184.50002000000001"/>
    <n v="5442.7505900000006"/>
    <n v="269.10572930850202"/>
    <n v="1.4585674804181703"/>
    <n v="4468.4749820072784"/>
    <n v="9911.225572007279"/>
    <n v="0"/>
    <n v="0"/>
    <n v="9911.225572007279"/>
    <n v="53.719373970839023"/>
  </r>
  <r>
    <n v="65979"/>
    <s v="Franklin County Board of DD"/>
    <s v="Franklin"/>
    <x v="2"/>
    <n v="1"/>
    <x v="2"/>
    <n v="150.99"/>
    <n v="4454.2049999999999"/>
    <n v="685.18621499999995"/>
    <n v="4.5379575799721827"/>
    <n v="28213.727438966191"/>
    <n v="32667.932438966192"/>
    <n v="0"/>
    <n v="0"/>
    <n v="32667.932438966192"/>
    <n v="216.35825179790839"/>
  </r>
  <r>
    <s v="017388"/>
    <s v="Fugees Academy"/>
    <s v="Franklin"/>
    <x v="0"/>
    <n v="1"/>
    <x v="0"/>
    <n v="42"/>
    <n v="1239"/>
    <n v="56.0334"/>
    <n v="1.3341285714285713"/>
    <n v="741.17807562898622"/>
    <n v="1980.1780756289863"/>
    <n v="0"/>
    <n v="0"/>
    <n v="1980.1780756289863"/>
    <n v="47.14709703878539"/>
  </r>
  <r>
    <s v="086389"/>
    <s v="Gahanna Christian Academy"/>
    <s v="Franklin"/>
    <x v="0"/>
    <n v="1"/>
    <x v="0"/>
    <n v="154"/>
    <n v="4543"/>
    <n v="166.6464"/>
    <n v="1.0821194805194805"/>
    <n v="667.9232698871557"/>
    <n v="5210.9232698871556"/>
    <n v="0"/>
    <n v="0"/>
    <n v="5210.9232698871556"/>
    <n v="33.837164090176337"/>
  </r>
  <r>
    <s v="046961"/>
    <s v="Gahanna-Jefferson City"/>
    <s v="Franklin"/>
    <x v="1"/>
    <n v="1"/>
    <x v="11"/>
    <n v="7698.506617"/>
    <n v="227105.9452015"/>
    <n v="9388.93351147455"/>
    <n v="1.2195785466679621"/>
    <n v="89280.384841744002"/>
    <n v="316386.330043244"/>
    <n v="3802939.3916964964"/>
    <n v="76227.264445122593"/>
    <n v="392613.59448836662"/>
    <n v="50.99866948498677"/>
  </r>
  <r>
    <s v="017151"/>
    <s v="GEC School"/>
    <s v="Franklin"/>
    <x v="0"/>
    <n v="1"/>
    <x v="0"/>
    <n v="181"/>
    <n v="5339.5"/>
    <n v="202.79920000000001"/>
    <n v="1.1204375690607735"/>
    <n v="1151.3310463787398"/>
    <n v="6490.8310463787402"/>
    <n v="0"/>
    <n v="0"/>
    <n v="6490.8310463787402"/>
    <n v="35.860945007617346"/>
  </r>
  <r>
    <s v="125260"/>
    <s v="Gloria S Friend Christian Academy"/>
    <s v="Franklin"/>
    <x v="0"/>
    <n v="1"/>
    <x v="0"/>
    <n v="44"/>
    <n v="1298"/>
    <n v="50.249600000000001"/>
    <n v="1.1420363636363637"/>
    <n v="330.07442967854644"/>
    <n v="1628.0744296785465"/>
    <n v="0"/>
    <n v="0"/>
    <n v="1628.0744296785465"/>
    <n v="37.001691583603332"/>
  </r>
  <r>
    <s v="088112"/>
    <s v="Grace Christian School"/>
    <s v="Franklin"/>
    <x v="0"/>
    <n v="1"/>
    <x v="0"/>
    <n v="341"/>
    <n v="10059.5"/>
    <n v="341"/>
    <n v="1"/>
    <n v="0"/>
    <n v="10059.5"/>
    <n v="0"/>
    <n v="0"/>
    <n v="10059.5"/>
    <n v="29.5"/>
  </r>
  <r>
    <s v="011972"/>
    <s v="Graham Elementary and Middle School"/>
    <s v="Franklin"/>
    <x v="4"/>
    <n v="1"/>
    <x v="8"/>
    <n v="435.201393"/>
    <n v="12838.4410935"/>
    <n v="623.88453740800105"/>
    <n v="1.4335536315895963"/>
    <n v="9965.3547875745244"/>
    <n v="22803.795881074526"/>
    <n v="0"/>
    <n v="0"/>
    <n v="22803.795881074526"/>
    <n v="52.398260317780107"/>
  </r>
  <r>
    <s v="133421"/>
    <s v="Graham School, The"/>
    <s v="Franklin"/>
    <x v="4"/>
    <n v="1"/>
    <x v="8"/>
    <n v="242.03931"/>
    <n v="7140.1596449999997"/>
    <n v="369.64597005759299"/>
    <n v="1.5272146084765859"/>
    <n v="6739.5826199587409"/>
    <n v="13879.742264958741"/>
    <n v="0"/>
    <n v="0"/>
    <n v="13879.742264958741"/>
    <n v="57.344991873257037"/>
  </r>
  <r>
    <s v="044073"/>
    <s v="Grandview Heights Schools"/>
    <s v="Franklin"/>
    <x v="1"/>
    <n v="1"/>
    <x v="11"/>
    <n v="1057.08872"/>
    <n v="31184.11724"/>
    <n v="1213.4369675324699"/>
    <n v="1.1479045652218007"/>
    <n v="8257.5778666666993"/>
    <n v="39441.695106666695"/>
    <n v="0"/>
    <n v="0"/>
    <n v="39441.695106666695"/>
    <n v="37.31162234582041"/>
  </r>
  <r>
    <s v="017233"/>
    <s v="Great River Connections Academy"/>
    <s v="Franklin"/>
    <x v="4"/>
    <n v="1"/>
    <x v="5"/>
    <n v="553.92903000000001"/>
    <n v="3268.1812770000001"/>
    <n v="694.29434732537004"/>
    <n v="1.2533994604423784"/>
    <n v="0"/>
    <n v="3268.1812770000001"/>
    <n v="0"/>
    <n v="0"/>
    <n v="3268.1812770000001"/>
    <n v="5.9"/>
  </r>
  <r>
    <s v="143198"/>
    <s v="Great Western Academy"/>
    <s v="Franklin"/>
    <x v="4"/>
    <n v="1"/>
    <x v="8"/>
    <n v="761.93206699999996"/>
    <n v="22476.995976499999"/>
    <n v="1027.1480188277101"/>
    <n v="1.3480834621805071"/>
    <n v="14007.457123845405"/>
    <n v="36484.453100345403"/>
    <n v="0"/>
    <n v="0"/>
    <n v="36484.453100345403"/>
    <n v="47.884128625794411"/>
  </r>
  <r>
    <s v="112227"/>
    <s v="Grove City Christian"/>
    <s v="Franklin"/>
    <x v="0"/>
    <n v="1"/>
    <x v="0"/>
    <n v="644"/>
    <n v="18998"/>
    <n v="669.07159999999999"/>
    <n v="1.0389310559006211"/>
    <n v="1324.1637978636456"/>
    <n v="20322.163797863646"/>
    <n v="0"/>
    <n v="0"/>
    <n v="20322.163797863646"/>
    <n v="31.556154965626781"/>
  </r>
  <r>
    <s v="008287"/>
    <s v="Groveport Community School"/>
    <s v="Franklin"/>
    <x v="4"/>
    <n v="1"/>
    <x v="8"/>
    <n v="760.97058400000003"/>
    <n v="22448.632228000002"/>
    <n v="1008.87946917251"/>
    <n v="1.3257798532361009"/>
    <n v="13093.379397971143"/>
    <n v="35542.011625971143"/>
    <n v="0"/>
    <n v="0"/>
    <n v="35542.011625971143"/>
    <n v="46.706157075279457"/>
  </r>
  <r>
    <s v="046979"/>
    <s v="Groveport Madison Local"/>
    <s v="Franklin"/>
    <x v="1"/>
    <n v="1"/>
    <x v="9"/>
    <n v="5899.7977559999999"/>
    <n v="174044.03380199999"/>
    <n v="7801.00868903828"/>
    <n v="1.3222501874924066"/>
    <n v="100413.0047396997"/>
    <n v="274457.0385416997"/>
    <n v="4384900.5628215652"/>
    <n v="87892.269726301747"/>
    <n v="362349.30826800142"/>
    <n v="61.417242294364748"/>
  </r>
  <r>
    <s v="046953"/>
    <s v="Hamilton Local"/>
    <s v="Franklin"/>
    <x v="1"/>
    <n v="1"/>
    <x v="6"/>
    <n v="3101.4711980000002"/>
    <n v="91493.400341"/>
    <n v="3783.83637832351"/>
    <n v="1.2200133861515581"/>
    <n v="36039.314152550716"/>
    <n v="127532.71449355071"/>
    <n v="2132420.8833996896"/>
    <n v="42742.887499634046"/>
    <n v="170275.60199318477"/>
    <n v="54.901558364619952"/>
  </r>
  <r>
    <s v="134353"/>
    <s v="Harambee Christian"/>
    <s v="Franklin"/>
    <x v="0"/>
    <n v="1"/>
    <x v="0"/>
    <n v="155"/>
    <n v="4572.5"/>
    <n v="167.85300000000001"/>
    <n v="1.0829225806451614"/>
    <n v="678.83490857948652"/>
    <n v="5251.3349085794862"/>
    <n v="0"/>
    <n v="0"/>
    <n v="5251.3349085794862"/>
    <n v="33.879580055351525"/>
  </r>
  <r>
    <s v="096719"/>
    <s v="Harvest Preparatory School"/>
    <s v="Franklin"/>
    <x v="0"/>
    <n v="1"/>
    <x v="0"/>
    <n v="658"/>
    <n v="19411"/>
    <n v="706.36019999999996"/>
    <n v="1.0734957446808511"/>
    <n v="2554.1579355703448"/>
    <n v="21965.157935570343"/>
    <n v="0"/>
    <n v="0"/>
    <n v="21965.157935570343"/>
    <n v="33.381698990228486"/>
  </r>
  <r>
    <s v="014157"/>
    <s v="Haugland Learning Center-Dublin"/>
    <s v="Franklin"/>
    <x v="0"/>
    <n v="1"/>
    <x v="0"/>
    <n v="242"/>
    <n v="7139"/>
    <n v="242"/>
    <n v="1"/>
    <n v="0"/>
    <n v="7139"/>
    <n v="0"/>
    <n v="0"/>
    <n v="7139"/>
    <n v="29.5"/>
  </r>
  <r>
    <s v="016433"/>
    <s v="Highland Community Learning Center"/>
    <s v="Franklin"/>
    <x v="0"/>
    <n v="1"/>
    <x v="0"/>
    <n v="46"/>
    <n v="1357"/>
    <n v="50.3"/>
    <n v="1.0934782608695652"/>
    <n v="227.10574238635246"/>
    <n v="1584.1057423863524"/>
    <n v="0"/>
    <n v="0"/>
    <n v="1584.1057423863524"/>
    <n v="34.43708135622505"/>
  </r>
  <r>
    <s v="047019"/>
    <s v="Hilliard City"/>
    <s v="Franklin"/>
    <x v="1"/>
    <n v="1"/>
    <x v="11"/>
    <n v="15997.703968"/>
    <n v="471932.26705600001"/>
    <n v="19234.086891752901"/>
    <n v="1.2023029636144409"/>
    <n v="170930.49919660861"/>
    <n v="642862.76625260862"/>
    <n v="8438262.5796137247"/>
    <n v="169139.0808168136"/>
    <n v="812001.84706942225"/>
    <n v="50.757399230143214"/>
  </r>
  <r>
    <s v="057646"/>
    <s v="Holy Spirit"/>
    <s v="Franklin"/>
    <x v="0"/>
    <n v="1"/>
    <x v="0"/>
    <n v="275"/>
    <n v="8112.5"/>
    <n v="309.12020000000001"/>
    <n v="1.1240734545454545"/>
    <n v="1802.0682212490303"/>
    <n v="9914.5682212490301"/>
    <n v="0"/>
    <n v="0"/>
    <n v="9914.5682212490301"/>
    <n v="36.052975349996473"/>
  </r>
  <r>
    <s v="133660"/>
    <s v="Horizon Science Academy Columbus"/>
    <s v="Franklin"/>
    <x v="4"/>
    <n v="1"/>
    <x v="8"/>
    <n v="491.827923"/>
    <n v="14508.9237285"/>
    <n v="645.62450791347601"/>
    <n v="1.3127040530260337"/>
    <n v="8122.8110682001598"/>
    <n v="22631.734796700159"/>
    <n v="0"/>
    <n v="0"/>
    <n v="22631.734796700159"/>
    <n v="46.015554909232264"/>
  </r>
  <r>
    <s v="009179"/>
    <s v="Horizon Science Academy Columbus Middle School"/>
    <s v="Franklin"/>
    <x v="4"/>
    <n v="1"/>
    <x v="8"/>
    <n v="504.87570899999997"/>
    <n v="14893.833415499999"/>
    <n v="670.95403152259996"/>
    <n v="1.3289489265616461"/>
    <n v="8771.474588552368"/>
    <n v="23665.308004052367"/>
    <n v="0"/>
    <n v="0"/>
    <n v="23665.308004052367"/>
    <n v="46.873532598599169"/>
  </r>
  <r>
    <s v="009990"/>
    <s v="Horizon Science Academy Elementary School"/>
    <s v="Franklin"/>
    <x v="4"/>
    <n v="1"/>
    <x v="8"/>
    <n v="485.64683500000001"/>
    <n v="14326.5816325"/>
    <n v="682.12653594620497"/>
    <n v="1.4045732140850973"/>
    <n v="10377.132173775914"/>
    <n v="24703.713806275911"/>
    <n v="0"/>
    <n v="0"/>
    <n v="24703.713806275911"/>
    <n v="50.867651194053209"/>
  </r>
  <r>
    <s v="017123"/>
    <s v="Horizon Science Academy Primary"/>
    <s v="Franklin"/>
    <x v="4"/>
    <n v="1"/>
    <x v="8"/>
    <n v="260.238542"/>
    <n v="7677.0369890000002"/>
    <n v="338.348643674291"/>
    <n v="1.3001480913395642"/>
    <n v="4125.4075880496148"/>
    <n v="11802.444577049615"/>
    <n v="0"/>
    <n v="0"/>
    <n v="11802.444577049615"/>
    <n v="45.352408165004306"/>
  </r>
  <r>
    <s v="014139"/>
    <s v="Imagine Columbus Primary School"/>
    <s v="Franklin"/>
    <x v="4"/>
    <n v="1"/>
    <x v="8"/>
    <n v="234.61078000000001"/>
    <n v="6921.0180099999998"/>
    <n v="309.10749130453001"/>
    <n v="1.3175331981954539"/>
    <n v="3934.5653316644361"/>
    <n v="10855.583341664436"/>
    <n v="0"/>
    <n v="0"/>
    <n v="10855.583341664436"/>
    <n v="46.270607606625902"/>
  </r>
  <r>
    <s v="057661"/>
    <s v="Immaculate Conception"/>
    <s v="Franklin"/>
    <x v="0"/>
    <n v="1"/>
    <x v="0"/>
    <n v="340"/>
    <n v="10030"/>
    <n v="349.94880000000001"/>
    <n v="1.0292611764705883"/>
    <n v="525.44874647752238"/>
    <n v="10555.448746477523"/>
    <n v="0"/>
    <n v="0"/>
    <n v="10555.448746477523"/>
    <n v="31.045437489639774"/>
  </r>
  <r>
    <s v="143172"/>
    <s v="International Acad Of Columbus"/>
    <s v="Franklin"/>
    <x v="4"/>
    <n v="1"/>
    <x v="8"/>
    <n v="278.19019200000002"/>
    <n v="8206.6106639999998"/>
    <n v="402.04345090217902"/>
    <n v="1.4452107315925034"/>
    <n v="6541.3456534763945"/>
    <n v="14747.956317476393"/>
    <n v="0"/>
    <n v="0"/>
    <n v="14747.956317476393"/>
    <n v="53.013933422485259"/>
  </r>
  <r>
    <s v="132340"/>
    <s v="Jolly Tots Too!"/>
    <s v="Franklin"/>
    <x v="0"/>
    <n v="1"/>
    <x v="0"/>
    <n v="15"/>
    <n v="442.5"/>
    <n v="15"/>
    <n v="1"/>
    <n v="0"/>
    <n v="442.5"/>
    <n v="0"/>
    <n v="0"/>
    <n v="442.5"/>
    <n v="29.5"/>
  </r>
  <r>
    <s v="134544"/>
    <s v="Joyland Presch &amp; Kindergarten"/>
    <s v="Franklin"/>
    <x v="0"/>
    <n v="1"/>
    <x v="0"/>
    <n v="11"/>
    <n v="324.5"/>
    <n v="11"/>
    <n v="1"/>
    <n v="0"/>
    <n v="324.5"/>
    <n v="0"/>
    <n v="0"/>
    <n v="324.5"/>
    <n v="29.5"/>
  </r>
  <r>
    <s v="019214"/>
    <s v="Judah Academy"/>
    <s v="Franklin"/>
    <x v="0"/>
    <n v="1"/>
    <x v="0"/>
    <n v="3"/>
    <n v="88.5"/>
    <n v="3"/>
    <n v="1"/>
    <n v="0"/>
    <n v="88.5"/>
    <n v="0"/>
    <n v="0"/>
    <n v="88.5"/>
    <n v="29.5"/>
  </r>
  <r>
    <s v="019215"/>
    <s v="Juniper Lyceum"/>
    <s v="Franklin"/>
    <x v="0"/>
    <n v="1"/>
    <x v="0"/>
    <n v="2"/>
    <n v="59"/>
    <n v="2"/>
    <n v="1"/>
    <n v="0"/>
    <n v="59"/>
    <n v="0"/>
    <n v="0"/>
    <n v="59"/>
    <n v="29.5"/>
  </r>
  <r>
    <s v="016836"/>
    <s v="Kids Care Elementary"/>
    <s v="Franklin"/>
    <x v="4"/>
    <n v="1"/>
    <x v="8"/>
    <n v="102.72988599999999"/>
    <n v="3030.5316369999996"/>
    <n v="138.92883398432301"/>
    <n v="1.3523701757473285"/>
    <n v="1911.8578966475907"/>
    <n v="4942.3895336475907"/>
    <n v="0"/>
    <n v="0"/>
    <n v="4942.3895336475907"/>
    <n v="48.110532641373624"/>
  </r>
  <r>
    <s v="009997"/>
    <s v="KIPP Columbus"/>
    <s v="Franklin"/>
    <x v="4"/>
    <n v="1"/>
    <x v="8"/>
    <n v="1373.144585"/>
    <n v="40507.765257500003"/>
    <n v="1812.30033357502"/>
    <n v="1.319817558451079"/>
    <n v="23194.137744968448"/>
    <n v="63701.903002468447"/>
    <n v="0"/>
    <n v="0"/>
    <n v="63701.903002468447"/>
    <n v="46.391256753540233"/>
  </r>
  <r>
    <s v="008282"/>
    <s v="Life Skills Center of Columbus North"/>
    <s v="Franklin"/>
    <x v="4"/>
    <n v="1"/>
    <x v="8"/>
    <n v="100.16305199999999"/>
    <n v="2954.8100339999996"/>
    <n v="142.30205876294701"/>
    <n v="1.4207041011784167"/>
    <n v="2225.5838172843296"/>
    <n v="5180.3938512843288"/>
    <n v="0"/>
    <n v="0"/>
    <n v="5180.3938512843288"/>
    <n v="51.719608656536636"/>
  </r>
  <r>
    <s v="000664"/>
    <s v="Life Skills Center of Columbus Southeast"/>
    <s v="Franklin"/>
    <x v="4"/>
    <n v="1"/>
    <x v="8"/>
    <n v="116.940541"/>
    <n v="3449.7459595"/>
    <n v="166.73783843357501"/>
    <n v="1.425834334335558"/>
    <n v="2630.0586517409452"/>
    <n v="6079.8046112409447"/>
    <n v="0"/>
    <n v="0"/>
    <n v="6079.8046112409447"/>
    <n v="51.990563402994219"/>
  </r>
  <r>
    <s v="008070"/>
    <s v="Linworth Children's Center"/>
    <s v="Franklin"/>
    <x v="0"/>
    <n v="1"/>
    <x v="0"/>
    <n v="27"/>
    <n v="796.5"/>
    <n v="27"/>
    <n v="1"/>
    <n v="0"/>
    <n v="796.5"/>
    <n v="0"/>
    <n v="0"/>
    <n v="796.5"/>
    <n v="29.5"/>
  </r>
  <r>
    <s v="089722"/>
    <s v="Madison Christian School"/>
    <s v="Franklin"/>
    <x v="0"/>
    <n v="1"/>
    <x v="0"/>
    <n v="517"/>
    <n v="15251.5"/>
    <n v="532.48540000000003"/>
    <n v="1.029952417794971"/>
    <n v="817.86587515107692"/>
    <n v="16069.365875151077"/>
    <n v="0"/>
    <n v="0"/>
    <n v="16069.365875151077"/>
    <n v="31.081945599905371"/>
  </r>
  <r>
    <s v="110403"/>
    <s v="Mansion Day School - Excel Preparatory Schools"/>
    <s v="Franklin"/>
    <x v="0"/>
    <n v="1"/>
    <x v="0"/>
    <n v="53"/>
    <n v="1563.5"/>
    <n v="53"/>
    <n v="1"/>
    <n v="0"/>
    <n v="1563.5"/>
    <n v="0"/>
    <n v="0"/>
    <n v="1563.5"/>
    <n v="29.5"/>
  </r>
  <r>
    <s v="088070"/>
    <s v="Marburn Academy"/>
    <s v="Franklin"/>
    <x v="0"/>
    <n v="1"/>
    <x v="0"/>
    <n v="298"/>
    <n v="8791"/>
    <n v="298"/>
    <n v="1"/>
    <n v="0"/>
    <n v="8791"/>
    <n v="0"/>
    <n v="0"/>
    <n v="8791"/>
    <n v="29.5"/>
  </r>
  <r>
    <s v="012037"/>
    <s v="Mason Run High School"/>
    <s v="Franklin"/>
    <x v="4"/>
    <n v="1"/>
    <x v="8"/>
    <n v="163.64401100000001"/>
    <n v="4827.4983245000003"/>
    <n v="234.68679037602499"/>
    <n v="1.4341300298244644"/>
    <n v="3752.1449189260497"/>
    <n v="8579.6432434260496"/>
    <n v="0"/>
    <n v="0"/>
    <n v="8579.6432434260496"/>
    <n v="52.428702957091716"/>
  </r>
  <r>
    <s v="070961"/>
    <s v="Mater Dei Academy"/>
    <s v="Franklin"/>
    <x v="0"/>
    <n v="1"/>
    <x v="0"/>
    <n v="8"/>
    <n v="236"/>
    <n v="8"/>
    <n v="1"/>
    <n v="0"/>
    <n v="236"/>
    <n v="0"/>
    <n v="0"/>
    <n v="236"/>
    <n v="29.5"/>
  </r>
  <r>
    <s v="012391"/>
    <s v="Metro Early College High School"/>
    <s v="Franklin"/>
    <x v="5"/>
    <n v="1"/>
    <x v="12"/>
    <n v="925.89560900000004"/>
    <n v="27313.920465499999"/>
    <n v="1020.48814328637"/>
    <n v="1.1021632820880674"/>
    <n v="4995.9320286773418"/>
    <n v="32309.852494177343"/>
    <n v="0"/>
    <n v="0"/>
    <n v="32309.852494177343"/>
    <n v="34.895783261217886"/>
  </r>
  <r>
    <s v="000780"/>
    <s v="Midnimo Cross Cultural Community School"/>
    <s v="Franklin"/>
    <x v="4"/>
    <n v="1"/>
    <x v="8"/>
    <n v="115.714285"/>
    <n v="3413.5714075000001"/>
    <n v="164.38171058616101"/>
    <n v="1.4205826928469636"/>
    <n v="2570.3841436692246"/>
    <n v="5983.9555511692251"/>
    <n v="0"/>
    <n v="0"/>
    <n v="5983.9555511692251"/>
    <n v="51.713196440432789"/>
  </r>
  <r>
    <s v="133561"/>
    <s v="Millennium Community School"/>
    <s v="Franklin"/>
    <x v="4"/>
    <n v="1"/>
    <x v="8"/>
    <n v="514.68292499999995"/>
    <n v="15183.146287499998"/>
    <n v="671.91241238990699"/>
    <n v="1.3054880582834705"/>
    <n v="8304.1208043512815"/>
    <n v="23487.267091851281"/>
    <n v="0"/>
    <n v="0"/>
    <n v="23487.267091851281"/>
    <n v="45.634440062007656"/>
  </r>
  <r>
    <s v="046995"/>
    <s v="New Albany-Plain Local"/>
    <s v="Franklin"/>
    <x v="1"/>
    <n v="1"/>
    <x v="11"/>
    <n v="4930.8485270000001"/>
    <n v="145460.03154650002"/>
    <n v="5833.3087494253696"/>
    <n v="1.1830233107919945"/>
    <n v="47663.697392573595"/>
    <n v="193123.72893907363"/>
    <n v="2665526.1101610311"/>
    <n v="53428.609493032825"/>
    <n v="246552.33843210645"/>
    <n v="50.002010218333048"/>
  </r>
  <r>
    <s v="094565"/>
    <s v="New Beginnings Christian"/>
    <s v="Franklin"/>
    <x v="0"/>
    <n v="1"/>
    <x v="0"/>
    <n v="116"/>
    <n v="3422"/>
    <n v="116"/>
    <n v="1"/>
    <n v="0"/>
    <n v="3422"/>
    <n v="0"/>
    <n v="0"/>
    <n v="3422"/>
    <n v="29.5"/>
  </r>
  <r>
    <s v="008280"/>
    <s v="Noble Academy-Columbus"/>
    <s v="Franklin"/>
    <x v="4"/>
    <n v="1"/>
    <x v="8"/>
    <n v="333.62358899999998"/>
    <n v="9841.8958755000003"/>
    <n v="445.59046596283002"/>
    <n v="1.3356083941739205"/>
    <n v="5913.562957052307"/>
    <n v="15755.458832552307"/>
    <n v="0"/>
    <n v="0"/>
    <n v="15755.458832552307"/>
    <n v="47.225254304641837"/>
  </r>
  <r>
    <s v="017538"/>
    <s v="North Columbus Preparatory Academy"/>
    <s v="Franklin"/>
    <x v="4"/>
    <n v="1"/>
    <x v="8"/>
    <n v="104.6"/>
    <n v="3085.7"/>
    <n v="120.594078"/>
    <n v="1.1529070554493308"/>
    <n v="844.73185069191413"/>
    <n v="3930.431850691914"/>
    <n v="0"/>
    <n v="0"/>
    <n v="3930.431850691914"/>
    <n v="37.575830312542202"/>
  </r>
  <r>
    <s v="000511"/>
    <s v="Northland Preparatory and Fitness Academy"/>
    <s v="Franklin"/>
    <x v="4"/>
    <n v="1"/>
    <x v="8"/>
    <n v="205.48192"/>
    <n v="6061.7166399999996"/>
    <n v="306.286435864098"/>
    <n v="1.4905760850594445"/>
    <n v="5324.0196305146128"/>
    <n v="11385.736270514612"/>
    <n v="0"/>
    <n v="0"/>
    <n v="11385.736270514612"/>
    <n v="55.409917673119907"/>
  </r>
  <r>
    <s v="017410"/>
    <s v="Northside Christian School"/>
    <s v="Franklin"/>
    <x v="0"/>
    <n v="1"/>
    <x v="0"/>
    <n v="169"/>
    <n v="4985.5"/>
    <n v="171.2122"/>
    <n v="1.0130899408284024"/>
    <n v="116.83798216443914"/>
    <n v="5102.3379821644394"/>
    <n v="0"/>
    <n v="0"/>
    <n v="5102.3379821644394"/>
    <n v="30.191349006890174"/>
  </r>
  <r>
    <s v="010184"/>
    <s v="Oakstone Academy Middle/High School"/>
    <s v="Franklin"/>
    <x v="0"/>
    <n v="1"/>
    <x v="0"/>
    <n v="200"/>
    <n v="5900"/>
    <n v="200"/>
    <n v="1"/>
    <n v="0"/>
    <n v="5900"/>
    <n v="0"/>
    <n v="0"/>
    <n v="5900"/>
    <n v="29.5"/>
  </r>
  <r>
    <s v="000679"/>
    <s v="Oakstone Community School"/>
    <s v="Franklin"/>
    <x v="4"/>
    <n v="1"/>
    <x v="8"/>
    <n v="247.739994"/>
    <n v="7308.329823"/>
    <n v="1270.3481056624"/>
    <n v="5.1277473820492627"/>
    <n v="54009.342876603616"/>
    <n v="61317.672699603616"/>
    <n v="0"/>
    <n v="0"/>
    <n v="61317.672699603616"/>
    <n v="247.50817060084216"/>
  </r>
  <r>
    <s v="014067"/>
    <s v="Ohio Construction Academy"/>
    <s v="Franklin"/>
    <x v="4"/>
    <n v="1"/>
    <x v="8"/>
    <n v="51.779319000000001"/>
    <n v="1527.4899105"/>
    <n v="77.831144021503704"/>
    <n v="1.5031318589088378"/>
    <n v="1375.9346655878965"/>
    <n v="2903.4245760878966"/>
    <n v="0"/>
    <n v="0"/>
    <n v="2903.4245760878966"/>
    <n v="56.073054496678424"/>
  </r>
  <r>
    <s v="111484"/>
    <s v="Osu Child Care Center"/>
    <s v="Franklin"/>
    <x v="0"/>
    <n v="1"/>
    <x v="0"/>
    <n v="16"/>
    <n v="472"/>
    <n v="16"/>
    <n v="1"/>
    <n v="0"/>
    <n v="472"/>
    <n v="0"/>
    <n v="0"/>
    <n v="472"/>
    <n v="29.5"/>
  </r>
  <r>
    <s v="088104"/>
    <s v="Our Lady Of Bethlehem"/>
    <s v="Franklin"/>
    <x v="0"/>
    <n v="1"/>
    <x v="0"/>
    <n v="18"/>
    <n v="531"/>
    <n v="18"/>
    <n v="1"/>
    <n v="0"/>
    <n v="531"/>
    <n v="0"/>
    <n v="0"/>
    <n v="531"/>
    <n v="29.5"/>
  </r>
  <r>
    <s v="057687"/>
    <s v="Our Lady Of Peace"/>
    <s v="Franklin"/>
    <x v="0"/>
    <n v="1"/>
    <x v="0"/>
    <n v="220"/>
    <n v="6490"/>
    <n v="232.5488"/>
    <n v="1.05704"/>
    <n v="662.76849768787486"/>
    <n v="7152.7684976878745"/>
    <n v="0"/>
    <n v="0"/>
    <n v="7152.7684976878745"/>
    <n v="32.512584080399428"/>
  </r>
  <r>
    <s v="057695"/>
    <s v="Our Lady Of Perpetual Help"/>
    <s v="Franklin"/>
    <x v="0"/>
    <n v="1"/>
    <x v="0"/>
    <n v="317"/>
    <n v="9351.5"/>
    <n v="358.06420000000003"/>
    <n v="1.1295400630914827"/>
    <n v="2168.8175875585275"/>
    <n v="11520.317587558528"/>
    <n v="0"/>
    <n v="0"/>
    <n v="11520.317587558528"/>
    <n v="36.34169585980608"/>
  </r>
  <r>
    <s v="012045"/>
    <s v="Patriot Preparatory Academy"/>
    <s v="Franklin"/>
    <x v="4"/>
    <n v="1"/>
    <x v="8"/>
    <n v="595.59859600000004"/>
    <n v="17570.158582"/>
    <n v="712.157354661721"/>
    <n v="1.1957001904378581"/>
    <n v="6156.084515698104"/>
    <n v="23726.243097698105"/>
    <n v="9765.99"/>
    <n v="195.75244978235887"/>
    <n v="23921.995547480463"/>
    <n v="40.164627163561114"/>
  </r>
  <r>
    <s v="010182"/>
    <s v="Performance Academy Eastland"/>
    <s v="Franklin"/>
    <x v="4"/>
    <n v="1"/>
    <x v="8"/>
    <n v="342.19919499999997"/>
    <n v="10094.876252499998"/>
    <n v="508.43679992459897"/>
    <n v="1.485791922814427"/>
    <n v="8779.8871346349406"/>
    <n v="18874.763387134939"/>
    <n v="0"/>
    <n v="0"/>
    <n v="18874.763387134939"/>
    <n v="55.157240761875379"/>
  </r>
  <r>
    <s v="011439"/>
    <s v="Renaissance Academy"/>
    <s v="Franklin"/>
    <x v="4"/>
    <n v="1"/>
    <x v="8"/>
    <n v="121.428568"/>
    <n v="3582.1427559999997"/>
    <n v="166.224457234623"/>
    <n v="1.3689073335248672"/>
    <n v="2365.9078326711342"/>
    <n v="5948.0505886711344"/>
    <n v="0"/>
    <n v="0"/>
    <n v="5948.0505886711344"/>
    <n v="48.983947407426683"/>
  </r>
  <r>
    <s v="047001"/>
    <s v="Reynoldsburg City"/>
    <s v="Franklin"/>
    <x v="1"/>
    <n v="1"/>
    <x v="10"/>
    <n v="7221.0327820000002"/>
    <n v="213020.46706900001"/>
    <n v="8991.8039740590793"/>
    <n v="1.245224089893777"/>
    <n v="93523.792132312505"/>
    <n v="306544.2592013125"/>
    <n v="5015002.2019952722"/>
    <n v="100522.21707215537"/>
    <n v="407066.47627346788"/>
    <n v="56.372334617863793"/>
  </r>
  <r>
    <s v="012040"/>
    <s v="Road to Success Academy"/>
    <s v="Franklin"/>
    <x v="4"/>
    <n v="1"/>
    <x v="8"/>
    <n v="82.518709000000001"/>
    <n v="2434.3019155000002"/>
    <n v="106.5823270115"/>
    <n v="1.2916140873156414"/>
    <n v="1270.9269379077473"/>
    <n v="3705.2288534077475"/>
    <n v="0"/>
    <n v="0"/>
    <n v="3705.2288534077475"/>
    <n v="44.901682276776135"/>
  </r>
  <r>
    <s v="053496"/>
    <s v="Rosemont Center"/>
    <s v="Franklin"/>
    <x v="0"/>
    <n v="1"/>
    <x v="0"/>
    <n v="25"/>
    <n v="737.5"/>
    <n v="36.523600000000002"/>
    <n v="1.460944"/>
    <n v="608.62226347985427"/>
    <n v="1346.1222634798542"/>
    <n v="0"/>
    <n v="0"/>
    <n v="1346.1222634798542"/>
    <n v="53.844890539194168"/>
  </r>
  <r>
    <s v="132498"/>
    <s v="Shepherd Christian"/>
    <s v="Franklin"/>
    <x v="0"/>
    <n v="1"/>
    <x v="0"/>
    <n v="142"/>
    <n v="4189"/>
    <n v="173.50899999999999"/>
    <n v="1.2218943661971831"/>
    <n v="1664.1569388026935"/>
    <n v="5853.1569388026937"/>
    <n v="0"/>
    <n v="0"/>
    <n v="5853.1569388026937"/>
    <n v="41.219415061990802"/>
  </r>
  <r>
    <s v="121053"/>
    <s v="Smoky Row Children's Center"/>
    <s v="Franklin"/>
    <x v="0"/>
    <n v="1"/>
    <x v="0"/>
    <n v="18"/>
    <n v="531"/>
    <n v="18"/>
    <n v="1"/>
    <n v="0"/>
    <n v="531"/>
    <n v="0"/>
    <n v="0"/>
    <n v="531"/>
    <n v="29.5"/>
  </r>
  <r>
    <s v="090472"/>
    <s v="Sonshine Christian Academy"/>
    <s v="Franklin"/>
    <x v="0"/>
    <n v="1"/>
    <x v="0"/>
    <n v="135"/>
    <n v="3982.5"/>
    <n v="191.71439999999998"/>
    <n v="1.4201066666666666"/>
    <n v="2995.3874223247799"/>
    <n v="6977.8874223247803"/>
    <n v="0"/>
    <n v="0"/>
    <n v="6977.8874223247803"/>
    <n v="51.688054980183558"/>
  </r>
  <r>
    <s v="016829"/>
    <s v="South Columbus Preparatory Academy"/>
    <s v="Franklin"/>
    <x v="4"/>
    <n v="1"/>
    <x v="8"/>
    <n v="171.198486"/>
    <n v="5050.355337"/>
    <n v="197.523613445775"/>
    <n v="1.153769627645977"/>
    <n v="1390.3692120902504"/>
    <n v="6440.7245490902505"/>
    <n v="0"/>
    <n v="0"/>
    <n v="6440.7245490902505"/>
    <n v="37.621387312328515"/>
  </r>
  <r>
    <s v="008281"/>
    <s v="South Scioto Academy"/>
    <s v="Franklin"/>
    <x v="4"/>
    <n v="1"/>
    <x v="8"/>
    <n v="221.081761"/>
    <n v="6521.9119495000004"/>
    <n v="350.431501854121"/>
    <n v="1.5850764905664063"/>
    <n v="6831.6439358505759"/>
    <n v="13353.555885350575"/>
    <n v="0"/>
    <n v="0"/>
    <n v="13353.555885350575"/>
    <n v="60.40098389369431"/>
  </r>
  <r>
    <s v="044800"/>
    <s v="South-Western City"/>
    <s v="Franklin"/>
    <x v="1"/>
    <n v="1"/>
    <x v="9"/>
    <n v="22654.394423999998"/>
    <n v="668304.63550799992"/>
    <n v="30066.749673662998"/>
    <n v="1.3271928223254723"/>
    <n v="391485.68414095201"/>
    <n v="1059790.319648952"/>
    <n v="15239759.935561044"/>
    <n v="305470.34570802527"/>
    <n v="1365260.6653569774"/>
    <n v="60.264716849399612"/>
  </r>
  <r>
    <s v="057745"/>
    <s v="St Agatha"/>
    <s v="Franklin"/>
    <x v="0"/>
    <n v="1"/>
    <x v="0"/>
    <n v="192"/>
    <n v="5664"/>
    <n v="208.8228"/>
    <n v="1.0876187500000001"/>
    <n v="888.50104256212398"/>
    <n v="6552.501042562124"/>
    <n v="0"/>
    <n v="0"/>
    <n v="6552.501042562124"/>
    <n v="34.127609596677729"/>
  </r>
  <r>
    <s v="057778"/>
    <s v="St Andrew"/>
    <s v="Franklin"/>
    <x v="0"/>
    <n v="1"/>
    <x v="0"/>
    <n v="422"/>
    <n v="12449"/>
    <n v="446.93420000000003"/>
    <n v="1.0590857819905215"/>
    <n v="1316.90697716507"/>
    <n v="13765.90697716507"/>
    <n v="0"/>
    <n v="0"/>
    <n v="13765.90697716507"/>
    <n v="32.620632647310593"/>
  </r>
  <r>
    <s v="057786"/>
    <s v="St Anthony"/>
    <s v="Franklin"/>
    <x v="0"/>
    <n v="1"/>
    <x v="0"/>
    <n v="185"/>
    <n v="5457.5"/>
    <n v="201.81219999999999"/>
    <n v="1.0908767567567568"/>
    <n v="887.94120049949663"/>
    <n v="6345.4412004994965"/>
    <n v="0"/>
    <n v="0"/>
    <n v="6345.4412004994965"/>
    <n v="34.299682164862141"/>
  </r>
  <r>
    <s v="057836"/>
    <s v="St Brendan"/>
    <s v="Franklin"/>
    <x v="0"/>
    <n v="1"/>
    <x v="0"/>
    <n v="468"/>
    <n v="13806"/>
    <n v="515.68139999999994"/>
    <n v="1.1018833333333331"/>
    <n v="2518.3069174466559"/>
    <n v="16324.306917446656"/>
    <n v="0"/>
    <n v="0"/>
    <n v="16324.306917446656"/>
    <n v="34.880997686851828"/>
  </r>
  <r>
    <s v="124883"/>
    <s v="St Brigid Of Kildare"/>
    <s v="Franklin"/>
    <x v="0"/>
    <n v="1"/>
    <x v="0"/>
    <n v="543"/>
    <n v="16018.5"/>
    <n v="570.03399999999999"/>
    <n v="1.0497863720073666"/>
    <n v="1427.8085208541058"/>
    <n v="17446.308520854105"/>
    <n v="0"/>
    <n v="0"/>
    <n v="17446.308520854105"/>
    <n v="32.129481622199087"/>
  </r>
  <r>
    <s v="057844"/>
    <s v="St Catharine"/>
    <s v="Franklin"/>
    <x v="0"/>
    <n v="1"/>
    <x v="0"/>
    <n v="245"/>
    <n v="7227.5"/>
    <n v="271.80900000000003"/>
    <n v="1.1094244897959185"/>
    <n v="1415.9250808455195"/>
    <n v="8643.4250808455199"/>
    <n v="0"/>
    <n v="0"/>
    <n v="8643.4250808455199"/>
    <n v="35.27928604426743"/>
  </r>
  <r>
    <s v="057851"/>
    <s v="St Cecilia"/>
    <s v="Franklin"/>
    <x v="0"/>
    <n v="1"/>
    <x v="0"/>
    <n v="224"/>
    <n v="6608"/>
    <n v="250.56300000000002"/>
    <n v="1.1185848214285714"/>
    <n v="1402.9325197694625"/>
    <n v="8010.9325197694625"/>
    <n v="0"/>
    <n v="0"/>
    <n v="8010.9325197694625"/>
    <n v="35.763091606113669"/>
  </r>
  <r>
    <s v="053520"/>
    <s v="St Charles Preparatory"/>
    <s v="Franklin"/>
    <x v="0"/>
    <n v="1"/>
    <x v="0"/>
    <n v="574"/>
    <n v="16933"/>
    <n v="574"/>
    <n v="1"/>
    <n v="0"/>
    <n v="16933"/>
    <n v="0"/>
    <n v="0"/>
    <n v="16933"/>
    <n v="29.5"/>
  </r>
  <r>
    <s v="053587"/>
    <s v="St Francis De Sales"/>
    <s v="Franklin"/>
    <x v="0"/>
    <n v="1"/>
    <x v="0"/>
    <n v="875"/>
    <n v="25812.5"/>
    <n v="907.04079999999999"/>
    <n v="1.0366180571428572"/>
    <n v="1692.2441094541036"/>
    <n v="27504.744109454103"/>
    <n v="0"/>
    <n v="0"/>
    <n v="27504.744109454103"/>
    <n v="31.433993267947546"/>
  </r>
  <r>
    <s v="057901"/>
    <s v="St James The Less"/>
    <s v="Franklin"/>
    <x v="0"/>
    <n v="1"/>
    <x v="0"/>
    <n v="494"/>
    <n v="14573"/>
    <n v="644.78719999999998"/>
    <n v="1.3052372469635627"/>
    <n v="7963.8695345021924"/>
    <n v="22536.869534502192"/>
    <n v="0"/>
    <n v="0"/>
    <n v="22536.869534502192"/>
    <n v="45.621193389680549"/>
  </r>
  <r>
    <s v="057950"/>
    <s v="St Joseph Montessori"/>
    <s v="Franklin"/>
    <x v="0"/>
    <n v="1"/>
    <x v="0"/>
    <n v="145"/>
    <n v="4277.5"/>
    <n v="148.68700000000001"/>
    <n v="1.0254275862068967"/>
    <n v="194.72997027406623"/>
    <n v="4472.2299702740665"/>
    <n v="0"/>
    <n v="0"/>
    <n v="4472.2299702740665"/>
    <n v="30.842965312234941"/>
  </r>
  <r>
    <s v="058008"/>
    <s v="St Mary"/>
    <s v="Franklin"/>
    <x v="0"/>
    <n v="1"/>
    <x v="0"/>
    <n v="336"/>
    <n v="9912"/>
    <n v="379.77179999999998"/>
    <n v="1.1302732142857141"/>
    <n v="2311.8202638574294"/>
    <n v="12223.820263857429"/>
    <n v="0"/>
    <n v="0"/>
    <n v="12223.820263857429"/>
    <n v="36.380417451956632"/>
  </r>
  <r>
    <s v="058057"/>
    <s v="St Mary Magdalene"/>
    <s v="Franklin"/>
    <x v="0"/>
    <n v="1"/>
    <x v="0"/>
    <n v="250"/>
    <n v="7375"/>
    <n v="319.1764"/>
    <n v="1.2767056000000001"/>
    <n v="3653.5715529337867"/>
    <n v="11028.571552933787"/>
    <n v="0"/>
    <n v="0"/>
    <n v="11028.571552933787"/>
    <n v="44.114286211735148"/>
  </r>
  <r>
    <s v="058065"/>
    <s v="St Matthew"/>
    <s v="Franklin"/>
    <x v="0"/>
    <n v="1"/>
    <x v="0"/>
    <n v="569"/>
    <n v="16785.5"/>
    <n v="595.54639999999995"/>
    <n v="1.0466544815465728"/>
    <n v="1402.0557859732696"/>
    <n v="18187.555785973269"/>
    <n v="0"/>
    <n v="0"/>
    <n v="18187.555785973269"/>
    <n v="31.964069922624375"/>
  </r>
  <r>
    <s v="058073"/>
    <s v="St Matthias"/>
    <s v="Franklin"/>
    <x v="0"/>
    <n v="1"/>
    <x v="0"/>
    <n v="275"/>
    <n v="8112.5"/>
    <n v="298.5"/>
    <n v="1.0854545454545454"/>
    <n v="1241.1592897858804"/>
    <n v="9353.6592897858809"/>
    <n v="0"/>
    <n v="0"/>
    <n v="9353.6592897858809"/>
    <n v="34.013306508312297"/>
  </r>
  <r>
    <s v="058081"/>
    <s v="St Michael"/>
    <s v="Franklin"/>
    <x v="0"/>
    <n v="1"/>
    <x v="0"/>
    <n v="383"/>
    <n v="11298.5"/>
    <n v="402.97239999999999"/>
    <n v="1.0521472584856397"/>
    <n v="1054.8480765667878"/>
    <n v="12353.348076566788"/>
    <n v="0"/>
    <n v="0"/>
    <n v="12353.348076566788"/>
    <n v="32.254172523673077"/>
  </r>
  <r>
    <s v="060921"/>
    <s v="St Paul Lutheran"/>
    <s v="Franklin"/>
    <x v="0"/>
    <n v="1"/>
    <x v="0"/>
    <n v="100"/>
    <n v="2950"/>
    <n v="107.2"/>
    <n v="1.0720000000000001"/>
    <n v="380.2700802748231"/>
    <n v="3330.2700802748232"/>
    <n v="0"/>
    <n v="0"/>
    <n v="3330.2700802748232"/>
    <n v="33.302700802748234"/>
  </r>
  <r>
    <s v="058156"/>
    <s v="St Pius X"/>
    <s v="Franklin"/>
    <x v="0"/>
    <n v="1"/>
    <x v="0"/>
    <n v="484"/>
    <n v="14278"/>
    <n v="515.4212"/>
    <n v="1.0649198347107438"/>
    <n v="1659.5197564348982"/>
    <n v="15937.519756434898"/>
    <n v="0"/>
    <n v="0"/>
    <n v="15937.519756434898"/>
    <n v="32.928759827344834"/>
  </r>
  <r>
    <s v="058206"/>
    <s v="St Timothy"/>
    <s v="Franklin"/>
    <x v="0"/>
    <n v="1"/>
    <x v="0"/>
    <n v="235"/>
    <n v="6932.5"/>
    <n v="266.34640000000002"/>
    <n v="1.1333889361702127"/>
    <n v="1655.5691728231554"/>
    <n v="8588.0691728231559"/>
    <n v="0"/>
    <n v="0"/>
    <n v="8588.0691728231559"/>
    <n v="36.544975203502794"/>
  </r>
  <r>
    <s v="098533"/>
    <s v="St Vincent Family Centers"/>
    <s v="Franklin"/>
    <x v="0"/>
    <n v="1"/>
    <x v="0"/>
    <n v="84"/>
    <n v="2478"/>
    <n v="84"/>
    <n v="1"/>
    <n v="0"/>
    <n v="2478"/>
    <n v="0"/>
    <n v="0"/>
    <n v="2478"/>
    <n v="29.5"/>
  </r>
  <r>
    <s v="009953"/>
    <s v="Sullivant Avenue Community School"/>
    <s v="Franklin"/>
    <x v="4"/>
    <n v="1"/>
    <x v="8"/>
    <n v="335.95705900000002"/>
    <n v="9910.7332404999997"/>
    <n v="463.28563927604"/>
    <n v="1.3790025447152161"/>
    <n v="6724.8957559512455"/>
    <n v="16635.628996451247"/>
    <n v="0"/>
    <n v="0"/>
    <n v="16635.628996451247"/>
    <n v="49.517128903224645"/>
  </r>
  <r>
    <s v="000296"/>
    <s v="Summit Academy Community School-Columbus"/>
    <s v="Franklin"/>
    <x v="4"/>
    <n v="1"/>
    <x v="8"/>
    <n v="58.594588000000002"/>
    <n v="1728.540346"/>
    <n v="118.053816762997"/>
    <n v="2.0147563246454947"/>
    <n v="3140.3563464977683"/>
    <n v="4868.8966924977685"/>
    <n v="0"/>
    <n v="0"/>
    <n v="4868.8966924977685"/>
    <n v="83.094648476712024"/>
  </r>
  <r>
    <s v="000610"/>
    <s v="Summit Academy Middle School - Columbus"/>
    <s v="Franklin"/>
    <x v="4"/>
    <n v="1"/>
    <x v="8"/>
    <n v="54.731532000000001"/>
    <n v="1614.5801940000001"/>
    <n v="132.02606038332701"/>
    <n v="2.4122485806413567"/>
    <n v="4082.332849046159"/>
    <n v="5696.9130430461591"/>
    <n v="0"/>
    <n v="0"/>
    <n v="5696.9130430461591"/>
    <n v="104.0883168234019"/>
  </r>
  <r>
    <s v="000614"/>
    <s v="Summit Academy Transition High School-Columbus"/>
    <s v="Franklin"/>
    <x v="4"/>
    <n v="1"/>
    <x v="8"/>
    <n v="56.249271"/>
    <n v="1659.3534944999999"/>
    <n v="163.60134546466401"/>
    <n v="2.9085060580547615"/>
    <n v="5669.8308297703552"/>
    <n v="7329.1843242703553"/>
    <n v="0"/>
    <n v="0"/>
    <n v="7329.1843242703553"/>
    <n v="130.29829887520418"/>
  </r>
  <r>
    <s v="126417"/>
    <s v="Sunrise Academy"/>
    <s v="Franklin"/>
    <x v="0"/>
    <n v="1"/>
    <x v="0"/>
    <n v="394"/>
    <n v="11623"/>
    <n v="408.1"/>
    <n v="1.0357868020304568"/>
    <n v="744.69557387152952"/>
    <n v="12367.69557387153"/>
    <n v="0"/>
    <n v="0"/>
    <n v="12367.69557387153"/>
    <n v="31.390090289014033"/>
  </r>
  <r>
    <s v="012528"/>
    <s v="The Academy for Urban Scholars"/>
    <s v="Franklin"/>
    <x v="4"/>
    <n v="1"/>
    <x v="8"/>
    <n v="304.45137099999999"/>
    <n v="8981.3154445"/>
    <n v="417.76925294631098"/>
    <n v="1.3722035528173431"/>
    <n v="5984.9166755967499"/>
    <n v="14966.232120096749"/>
    <n v="0"/>
    <n v="0"/>
    <n v="14966.232120096749"/>
    <n v="49.158038181725743"/>
  </r>
  <r>
    <s v="017232"/>
    <s v="The Learning Spectrum"/>
    <s v="Franklin"/>
    <x v="0"/>
    <n v="1"/>
    <x v="0"/>
    <n v="47"/>
    <n v="1386.5"/>
    <n v="47"/>
    <n v="1"/>
    <n v="0"/>
    <n v="1386.5"/>
    <n v="0"/>
    <n v="0"/>
    <n v="1386.5"/>
    <n v="29.5"/>
  </r>
  <r>
    <s v="017487"/>
    <s v="The Learning Spectrum, LTD - Canal Winchester"/>
    <s v="Franklin"/>
    <x v="0"/>
    <n v="1"/>
    <x v="0"/>
    <n v="43"/>
    <n v="1268.5"/>
    <n v="43"/>
    <n v="1"/>
    <n v="0"/>
    <n v="1268.5"/>
    <n v="0"/>
    <n v="0"/>
    <n v="1268.5"/>
    <n v="29.5"/>
  </r>
  <r>
    <s v="090209"/>
    <s v="The Wellington School"/>
    <s v="Franklin"/>
    <x v="0"/>
    <n v="1"/>
    <x v="0"/>
    <n v="625"/>
    <n v="18437.5"/>
    <n v="634.58619999999996"/>
    <n v="1.0153379199999999"/>
    <n v="506.29792271256861"/>
    <n v="18943.797922712569"/>
    <n v="0"/>
    <n v="0"/>
    <n v="18943.797922712569"/>
    <n v="30.31007667634011"/>
  </r>
  <r>
    <s v="013835"/>
    <s v="Tooba Academy"/>
    <s v="Franklin"/>
    <x v="0"/>
    <n v="1"/>
    <x v="0"/>
    <n v="102"/>
    <n v="3009"/>
    <n v="132.79500000000002"/>
    <n v="1.3019117647058824"/>
    <n v="1626.4468225087751"/>
    <n v="4635.4468225087749"/>
    <n v="0"/>
    <n v="0"/>
    <n v="4635.4468225087749"/>
    <n v="45.445557083419359"/>
  </r>
  <r>
    <s v="132373"/>
    <s v="Tree Of Life-Dublin Branch"/>
    <s v="Franklin"/>
    <x v="0"/>
    <n v="1"/>
    <x v="0"/>
    <n v="118"/>
    <n v="3481"/>
    <n v="118"/>
    <n v="1"/>
    <n v="0"/>
    <n v="3481"/>
    <n v="0"/>
    <n v="0"/>
    <n v="3481"/>
    <n v="29.5"/>
  </r>
  <r>
    <s v="083923"/>
    <s v="Tree Of Life-Indianola Branch"/>
    <s v="Franklin"/>
    <x v="0"/>
    <n v="1"/>
    <x v="0"/>
    <n v="144"/>
    <n v="4248"/>
    <n v="144"/>
    <n v="1"/>
    <n v="0"/>
    <n v="4248"/>
    <n v="0"/>
    <n v="0"/>
    <n v="4248"/>
    <n v="29.5"/>
  </r>
  <r>
    <s v="088062"/>
    <s v="Tree Of Life-Northridge Branch"/>
    <s v="Franklin"/>
    <x v="0"/>
    <n v="1"/>
    <x v="0"/>
    <n v="311"/>
    <n v="9174.5"/>
    <n v="311"/>
    <n v="1"/>
    <n v="0"/>
    <n v="9174.5"/>
    <n v="0"/>
    <n v="0"/>
    <n v="9174.5"/>
    <n v="29.5"/>
  </r>
  <r>
    <s v="057869"/>
    <s v="Trinity"/>
    <s v="Franklin"/>
    <x v="0"/>
    <n v="1"/>
    <x v="0"/>
    <n v="155"/>
    <n v="4572.5"/>
    <n v="169.761"/>
    <n v="1.0952322580645162"/>
    <n v="779.60647985231401"/>
    <n v="5352.1064798523139"/>
    <n v="0"/>
    <n v="0"/>
    <n v="5352.1064798523139"/>
    <n v="34.529719224853636"/>
  </r>
  <r>
    <s v="014467"/>
    <s v="United Preparatory Academy"/>
    <s v="Franklin"/>
    <x v="4"/>
    <n v="1"/>
    <x v="8"/>
    <n v="296.53845799999999"/>
    <n v="8747.8845110000002"/>
    <n v="391.98667329577"/>
    <n v="1.3218746598317106"/>
    <n v="5041.1250684182014"/>
    <n v="13789.009579418202"/>
    <n v="0"/>
    <n v="0"/>
    <n v="13789.009579418202"/>
    <n v="46.499903157310548"/>
  </r>
  <r>
    <s v="016858"/>
    <s v="United Preparatory Academy East"/>
    <s v="Franklin"/>
    <x v="4"/>
    <n v="1"/>
    <x v="8"/>
    <n v="97.428713999999999"/>
    <n v="2874.1470629999999"/>
    <n v="135.34218001744301"/>
    <n v="1.3891405773604177"/>
    <n v="2002.4106619374761"/>
    <n v="4876.5577249374765"/>
    <n v="0"/>
    <n v="0"/>
    <n v="4876.5577249374765"/>
    <n v="50.052572026532921"/>
  </r>
  <r>
    <s v="044933"/>
    <s v="Upper Arlington City"/>
    <s v="Franklin"/>
    <x v="1"/>
    <n v="1"/>
    <x v="11"/>
    <n v="5892.7177869999996"/>
    <n v="173835.17471649998"/>
    <n v="7095.17435472118"/>
    <n v="1.2040580613539538"/>
    <n v="63508.091046433525"/>
    <n v="237343.2657629335"/>
    <n v="1124005.3859282536"/>
    <n v="22529.903047619478"/>
    <n v="259873.16881055298"/>
    <n v="44.100732158574182"/>
  </r>
  <r>
    <s v="045047"/>
    <s v="Westerville City"/>
    <s v="Franklin"/>
    <x v="1"/>
    <n v="1"/>
    <x v="11"/>
    <n v="14821.638197"/>
    <n v="437238.32681150001"/>
    <n v="18449.790586475199"/>
    <n v="1.2447875424600205"/>
    <n v="191621.91672153122"/>
    <n v="628860.2435330312"/>
    <n v="7861099.093154544"/>
    <n v="157570.24177445212"/>
    <n v="786430.48530748335"/>
    <n v="53.059619648971207"/>
  </r>
  <r>
    <s v="000875"/>
    <s v="Westside Academy"/>
    <s v="Franklin"/>
    <x v="4"/>
    <n v="1"/>
    <x v="8"/>
    <n v="224.70890600000001"/>
    <n v="6628.9127270000008"/>
    <n v="314.489362433591"/>
    <n v="1.3995411576325816"/>
    <n v="4741.7807465433179"/>
    <n v="11370.693473543319"/>
    <n v="0"/>
    <n v="0"/>
    <n v="11370.693473543319"/>
    <n v="50.601881678616323"/>
  </r>
  <r>
    <s v="015741"/>
    <s v="Westwood Preparatory Academy"/>
    <s v="Franklin"/>
    <x v="4"/>
    <n v="1"/>
    <x v="8"/>
    <n v="224.69820999999999"/>
    <n v="6628.5971949999994"/>
    <n v="562.77841017235096"/>
    <n v="2.5045967663576447"/>
    <n v="17855.80345262057"/>
    <n v="24484.400647620569"/>
    <n v="0"/>
    <n v="0"/>
    <n v="24484.400647620569"/>
    <n v="108.96571293389729"/>
  </r>
  <r>
    <s v="045070"/>
    <s v="Whitehall City"/>
    <s v="Franklin"/>
    <x v="1"/>
    <n v="1"/>
    <x v="9"/>
    <n v="3477.0773079999999"/>
    <n v="102573.78058599999"/>
    <n v="5048.14834344067"/>
    <n v="1.4518366709379675"/>
    <n v="82976.570661732345"/>
    <n v="185550.35124773235"/>
    <n v="925223.94594088139"/>
    <n v="18545.467895751306"/>
    <n v="204095.81914348365"/>
    <n v="58.697521241159485"/>
  </r>
  <r>
    <s v="000509"/>
    <s v="Whitehall Preparatory and Fitness Academy"/>
    <s v="Franklin"/>
    <x v="4"/>
    <n v="1"/>
    <x v="8"/>
    <n v="300.680725"/>
    <n v="8870.0813875000003"/>
    <n v="452.76543770535699"/>
    <n v="1.5058013369674994"/>
    <n v="8032.3980429221519"/>
    <n v="16902.47943042215"/>
    <n v="0"/>
    <n v="0"/>
    <n v="16902.47943042215"/>
    <n v="56.214043751631074"/>
  </r>
  <r>
    <s v="008163"/>
    <s v="Worthington Adventist Academy"/>
    <s v="Franklin"/>
    <x v="0"/>
    <n v="1"/>
    <x v="0"/>
    <n v="83"/>
    <n v="2448.5"/>
    <n v="88.5"/>
    <n v="1.0662650602409638"/>
    <n v="290.48408909882312"/>
    <n v="2738.984089098823"/>
    <n v="0"/>
    <n v="0"/>
    <n v="2738.984089098823"/>
    <n v="32.999808302395458"/>
  </r>
  <r>
    <s v="071001"/>
    <s v="Worthington Christian High School"/>
    <s v="Franklin"/>
    <x v="0"/>
    <n v="1"/>
    <x v="0"/>
    <n v="341"/>
    <n v="10059.5"/>
    <n v="355.01060000000001"/>
    <n v="1.0410868035190617"/>
    <n v="739.97388704144987"/>
    <n v="10799.473887041449"/>
    <n v="0"/>
    <n v="0"/>
    <n v="10799.473887041449"/>
    <n v="31.670011398948532"/>
  </r>
  <r>
    <s v="090290"/>
    <s v="Worthington Christian Kindergarten/Middle School"/>
    <s v="Franklin"/>
    <x v="0"/>
    <n v="1"/>
    <x v="0"/>
    <n v="272"/>
    <n v="8024"/>
    <n v="283.06099999999998"/>
    <n v="1.0406654411764704"/>
    <n v="584.18991082219577"/>
    <n v="8608.1899108221951"/>
    <n v="0"/>
    <n v="0"/>
    <n v="8608.1899108221951"/>
    <n v="31.647757025081599"/>
  </r>
  <r>
    <s v="067538"/>
    <s v="Worthington Christian Westview Elementary School"/>
    <s v="Franklin"/>
    <x v="0"/>
    <n v="1"/>
    <x v="0"/>
    <n v="288"/>
    <n v="8496"/>
    <n v="308.6472"/>
    <n v="1.0716916666666667"/>
    <n v="1090.4878335347673"/>
    <n v="9586.4878335347676"/>
    <n v="0"/>
    <n v="0"/>
    <n v="9586.4878335347676"/>
    <n v="33.286416088662385"/>
  </r>
  <r>
    <s v="045138"/>
    <s v="Worthington City"/>
    <s v="Franklin"/>
    <x v="1"/>
    <n v="1"/>
    <x v="11"/>
    <n v="10063.236854000001"/>
    <n v="296865.48719300004"/>
    <n v="12219.181046424401"/>
    <n v="1.2142396351892921"/>
    <n v="113866.81543350904"/>
    <n v="410732.3026265091"/>
    <n v="4301189.8344588121"/>
    <n v="86214.346632987654"/>
    <n v="496946.64925949677"/>
    <n v="49.382386250997079"/>
  </r>
  <r>
    <s v="132985"/>
    <s v="YB Columbus Community School"/>
    <s v="Franklin"/>
    <x v="4"/>
    <n v="1"/>
    <x v="8"/>
    <n v="124.17256399999999"/>
    <n v="3663.0906379999997"/>
    <n v="196.65739290372201"/>
    <n v="1.5837427090876695"/>
    <n v="3828.3071813784977"/>
    <n v="7491.3978193784969"/>
    <n v="34955.24"/>
    <n v="700.65337592300443"/>
    <n v="8192.0511953015011"/>
    <n v="65.973117824171709"/>
  </r>
  <r>
    <s v="000725"/>
    <s v="Zenith Academy"/>
    <s v="Franklin"/>
    <x v="4"/>
    <n v="1"/>
    <x v="8"/>
    <n v="591.73141399999997"/>
    <n v="17456.076712999999"/>
    <n v="828.02634084293004"/>
    <n v="1.3993280080325938"/>
    <n v="12479.98483320756"/>
    <n v="29936.061546207558"/>
    <n v="0"/>
    <n v="0"/>
    <n v="29936.061546207558"/>
    <n v="50.590624120908274"/>
  </r>
  <r>
    <s v="012009"/>
    <s v="Zenith Academy East"/>
    <s v="Franklin"/>
    <x v="4"/>
    <n v="1"/>
    <x v="8"/>
    <n v="281.43429099999997"/>
    <n v="8302.3115844999993"/>
    <n v="399.00147894701098"/>
    <n v="1.4177429393172669"/>
    <n v="6209.344999763206"/>
    <n v="14511.656584263204"/>
    <n v="0"/>
    <n v="0"/>
    <n v="14511.656584263204"/>
    <n v="51.563214037280218"/>
  </r>
  <r>
    <s v="015234"/>
    <s v="Zenith Academy West"/>
    <s v="Franklin"/>
    <x v="4"/>
    <n v="1"/>
    <x v="8"/>
    <n v="208.25714400000001"/>
    <n v="6143.5857480000004"/>
    <n v="297.63890961754203"/>
    <n v="1.4291894333168327"/>
    <n v="4720.7237759011277"/>
    <n v="10864.309523901127"/>
    <n v="0"/>
    <n v="0"/>
    <n v="10864.309523901127"/>
    <n v="52.167763925069131"/>
  </r>
  <r>
    <s v="047043"/>
    <s v="Archbold-Area Local"/>
    <s v="Fulton"/>
    <x v="1"/>
    <n v="1"/>
    <x v="7"/>
    <n v="1209.0448100000001"/>
    <n v="35666.821895000001"/>
    <n v="1331.33796334883"/>
    <n v="1.1011485697943899"/>
    <n v="6458.9482279195563"/>
    <n v="42125.770122919559"/>
    <n v="550764.61339013954"/>
    <n v="11039.69206650361"/>
    <n v="53165.462189423168"/>
    <n v="43.973111459304114"/>
  </r>
  <r>
    <s v="047050"/>
    <s v="Evergreen Local"/>
    <s v="Fulton"/>
    <x v="1"/>
    <n v="1"/>
    <x v="3"/>
    <n v="1177.402304"/>
    <n v="34733.367967999999"/>
    <n v="1367.3762452210301"/>
    <n v="1.1613500674965811"/>
    <n v="10033.528594200783"/>
    <n v="44766.896562200782"/>
    <n v="1598420.1369742446"/>
    <n v="32039.215439925905"/>
    <n v="76806.112002126683"/>
    <n v="65.23353295742038"/>
  </r>
  <r>
    <s v="047068"/>
    <s v="Fayette Local"/>
    <s v="Fulton"/>
    <x v="1"/>
    <n v="1"/>
    <x v="1"/>
    <n v="410.359354"/>
    <n v="12105.600942999999"/>
    <n v="515.52340964011398"/>
    <n v="1.2562730802040252"/>
    <n v="5554.2699833739025"/>
    <n v="17659.8709263739"/>
    <n v="308213.86813413986"/>
    <n v="6177.9317554241597"/>
    <n v="23837.802681798061"/>
    <n v="58.090067764845102"/>
  </r>
  <r>
    <s v="059246"/>
    <s v="Holy Trinity, Assumption"/>
    <s v="Fulton"/>
    <x v="0"/>
    <n v="1"/>
    <x v="0"/>
    <n v="89"/>
    <n v="2625.5"/>
    <n v="94.961799999999997"/>
    <n v="1.0669865168539325"/>
    <n v="314.87418952533869"/>
    <n v="2940.3741895253388"/>
    <n v="0"/>
    <n v="0"/>
    <n v="2940.3741895253388"/>
    <n v="33.03791224185774"/>
  </r>
  <r>
    <s v="016680"/>
    <s v="New Horizons Academy at Sara's Garden"/>
    <s v="Fulton"/>
    <x v="0"/>
    <n v="1"/>
    <x v="0"/>
    <n v="91"/>
    <n v="2684.5"/>
    <n v="165.5034"/>
    <n v="1.8187186813186813"/>
    <n v="3934.918597048229"/>
    <n v="6619.4185970482285"/>
    <n v="0"/>
    <n v="0"/>
    <n v="6619.4185970482285"/>
    <n v="72.74086370382669"/>
  </r>
  <r>
    <s v="047076"/>
    <s v="Pettisville Local"/>
    <s v="Fulton"/>
    <x v="1"/>
    <n v="1"/>
    <x v="3"/>
    <n v="524.40189499999997"/>
    <n v="15469.8559025"/>
    <n v="594.40774746652903"/>
    <n v="1.1334965665342018"/>
    <n v="3697.3793246047808"/>
    <n v="19167.235227104778"/>
    <n v="264161.75070105225"/>
    <n v="5294.9378238691352"/>
    <n v="24462.173050973914"/>
    <n v="46.647758683202156"/>
  </r>
  <r>
    <s v="047084"/>
    <s v="Pike-Delta-York Local"/>
    <s v="Fulton"/>
    <x v="1"/>
    <n v="1"/>
    <x v="1"/>
    <n v="1196.4967859999999"/>
    <n v="35296.655186999997"/>
    <n v="1425.38791083192"/>
    <n v="1.1913010778717796"/>
    <n v="12088.950890837326"/>
    <n v="47385.606077837321"/>
    <n v="710644.8717776282"/>
    <n v="14244.380198601577"/>
    <n v="61629.986276438896"/>
    <n v="51.508693543986588"/>
  </r>
  <r>
    <s v="059436"/>
    <s v="St Richard"/>
    <s v="Fulton"/>
    <x v="0"/>
    <n v="1"/>
    <x v="0"/>
    <n v="57"/>
    <n v="1681.5"/>
    <n v="61.786999999999999"/>
    <n v="1.0839824561403508"/>
    <n v="252.8267880938302"/>
    <n v="1934.3267880938301"/>
    <n v="0"/>
    <n v="0"/>
    <n v="1934.3267880938301"/>
    <n v="33.935557685856672"/>
  </r>
  <r>
    <s v="047092"/>
    <s v="Swanton Local"/>
    <s v="Fulton"/>
    <x v="1"/>
    <n v="1"/>
    <x v="7"/>
    <n v="1171.8994009999999"/>
    <n v="34571.032329499998"/>
    <n v="1446.24339530823"/>
    <n v="1.234102000627467"/>
    <n v="14489.557324792533"/>
    <n v="49060.589654292533"/>
    <n v="824183.264932369"/>
    <n v="16520.178003472676"/>
    <n v="65580.767657765216"/>
    <n v="55.961089835701024"/>
  </r>
  <r>
    <s v="045641"/>
    <s v="Wauseon Exempted Village"/>
    <s v="Fulton"/>
    <x v="1"/>
    <n v="1"/>
    <x v="6"/>
    <n v="1779.025854"/>
    <n v="52481.262692999997"/>
    <n v="2068.3063780595999"/>
    <n v="1.1626061383026982"/>
    <n v="15278.434459178738"/>
    <n v="67759.697152178735"/>
    <n v="934252.43541879335"/>
    <n v="18726.437662578377"/>
    <n v="86486.134814757112"/>
    <n v="48.614321495272158"/>
  </r>
  <r>
    <n v="70615"/>
    <s v="Gallia County Board of DD"/>
    <s v="Gallia"/>
    <x v="2"/>
    <n v="1"/>
    <x v="2"/>
    <n v="21.509999999999998"/>
    <n v="634.54499999999996"/>
    <n v="100.562691"/>
    <n v="4.6751599721059973"/>
    <n v="4175.1907156264979"/>
    <n v="4809.7357156264979"/>
    <n v="0"/>
    <n v="0"/>
    <n v="4809.7357156264979"/>
    <n v="223.60463577993949"/>
  </r>
  <r>
    <s v="065680"/>
    <s v="Gallia County Local"/>
    <s v="Gallia"/>
    <x v="1"/>
    <n v="1"/>
    <x v="1"/>
    <n v="2174.2335330000001"/>
    <n v="64139.889223500002"/>
    <n v="2978.0344805083"/>
    <n v="1.3696939336591034"/>
    <n v="42452.979282494445"/>
    <n v="106592.86850599444"/>
    <n v="4536996.3705604468"/>
    <n v="90940.923981171218"/>
    <n v="197533.79248716566"/>
    <n v="90.852150649433312"/>
  </r>
  <r>
    <s v="062067"/>
    <s v="Gallia-Jackson-Vinton"/>
    <s v="Gallia"/>
    <x v="3"/>
    <n v="1"/>
    <x v="4"/>
    <n v="691.59425299999998"/>
    <n v="20402.030463499999"/>
    <n v="1052.99953989238"/>
    <n v="1.5225683778092065"/>
    <n v="19087.724646987608"/>
    <n v="39489.755110487604"/>
    <n v="0"/>
    <n v="0"/>
    <n v="39489.755110487604"/>
    <n v="57.099599858137637"/>
  </r>
  <r>
    <s v="044032"/>
    <s v="Gallipolis City "/>
    <s v="Gallia"/>
    <x v="1"/>
    <n v="1"/>
    <x v="6"/>
    <n v="2005.1703600000001"/>
    <n v="59152.52562"/>
    <n v="2677.4029550661498"/>
    <n v="1.3352496169283838"/>
    <n v="35504.158734605189"/>
    <n v="94656.684354605182"/>
    <n v="1686089.4098020685"/>
    <n v="33796.484792719071"/>
    <n v="128453.16914732425"/>
    <n v="64.060975421222693"/>
  </r>
  <r>
    <s v="008246"/>
    <s v="Ohio Valley Christian School"/>
    <s v="Gallia"/>
    <x v="0"/>
    <n v="1"/>
    <x v="0"/>
    <n v="108"/>
    <n v="3186"/>
    <n v="108"/>
    <n v="1"/>
    <n v="0"/>
    <n v="3186"/>
    <n v="0"/>
    <n v="0"/>
    <n v="3186"/>
    <n v="29.5"/>
  </r>
  <r>
    <s v="047167"/>
    <s v="Berkshire Local"/>
    <s v="Geauga"/>
    <x v="1"/>
    <n v="1"/>
    <x v="7"/>
    <n v="1236.8449230000001"/>
    <n v="36486.925228500004"/>
    <n v="1415.56258422165"/>
    <n v="1.144494801165667"/>
    <n v="9439.0249137896426"/>
    <n v="45925.950142289643"/>
    <n v="1738630.4131689053"/>
    <n v="34849.632514873345"/>
    <n v="80775.582657162988"/>
    <n v="65.307769110811137"/>
  </r>
  <r>
    <s v="047175"/>
    <s v="Cardinal Local"/>
    <s v="Geauga"/>
    <x v="1"/>
    <n v="1"/>
    <x v="1"/>
    <n v="867.33541600000001"/>
    <n v="25586.394772"/>
    <n v="1058.6322936654401"/>
    <n v="1.2205569773083498"/>
    <n v="10103.39986474443"/>
    <n v="35689.794636744431"/>
    <n v="1106182.1565994322"/>
    <n v="22172.648862007005"/>
    <n v="57862.44349875144"/>
    <n v="66.712879967017784"/>
  </r>
  <r>
    <s v="047183"/>
    <s v="Chardon Local"/>
    <s v="Geauga"/>
    <x v="1"/>
    <n v="1"/>
    <x v="10"/>
    <n v="2744.9482549999998"/>
    <n v="80975.973522499989"/>
    <n v="3087.0589015024302"/>
    <n v="1.124632821722328"/>
    <n v="18068.672640048724"/>
    <n v="99044.646162548714"/>
    <n v="2305784.2483810773"/>
    <n v="46217.835087909261"/>
    <n v="145262.48125045799"/>
    <n v="52.919934277762188"/>
  </r>
  <r>
    <n v="65995"/>
    <s v="Geauga County Board of DD"/>
    <s v="Geauga"/>
    <x v="2"/>
    <n v="1"/>
    <x v="2"/>
    <n v="75.010000000000005"/>
    <n v="2212.7950000000001"/>
    <n v="354.18871899999999"/>
    <n v="4.7218866684442071"/>
    <n v="14744.904706271147"/>
    <n v="16957.699706271145"/>
    <n v="0"/>
    <n v="0"/>
    <n v="16957.699706271145"/>
    <n v="226.0725197476489"/>
  </r>
  <r>
    <s v="053041"/>
    <s v="Hawken School"/>
    <s v="Geauga"/>
    <x v="0"/>
    <n v="1"/>
    <x v="0"/>
    <n v="532"/>
    <n v="15694"/>
    <n v="532"/>
    <n v="1"/>
    <n v="0"/>
    <n v="15694"/>
    <n v="0"/>
    <n v="0"/>
    <n v="15694"/>
    <n v="29.5"/>
  </r>
  <r>
    <s v="132696"/>
    <s v="Hershey Montessori Farm School"/>
    <s v="Geauga"/>
    <x v="0"/>
    <n v="1"/>
    <x v="0"/>
    <n v="61"/>
    <n v="1799.5"/>
    <n v="61"/>
    <n v="1"/>
    <n v="0"/>
    <n v="1799.5"/>
    <n v="0"/>
    <n v="0"/>
    <n v="1799.5"/>
    <n v="29.5"/>
  </r>
  <r>
    <s v="047191"/>
    <s v="Kenston Local"/>
    <s v="Geauga"/>
    <x v="1"/>
    <n v="1"/>
    <x v="11"/>
    <n v="2628.83329"/>
    <n v="77550.582055000006"/>
    <n v="2945.2815319268698"/>
    <n v="1.1203759261306638"/>
    <n v="16713.305327827413"/>
    <n v="94263.887382827423"/>
    <n v="2174518.4532278427"/>
    <n v="43586.703889344135"/>
    <n v="137850.59127217156"/>
    <n v="52.43793579324749"/>
  </r>
  <r>
    <s v="057216"/>
    <s v="Notre Dame School"/>
    <s v="Geauga"/>
    <x v="0"/>
    <n v="1"/>
    <x v="0"/>
    <n v="439"/>
    <n v="12950.5"/>
    <n v="453.53579999999999"/>
    <n v="1.0331111617312072"/>
    <n v="767.71247678594023"/>
    <n v="13718.21247678594"/>
    <n v="0"/>
    <n v="0"/>
    <n v="13718.21247678594"/>
    <n v="31.248775573544282"/>
  </r>
  <r>
    <s v="053371"/>
    <s v="Notre Dame-Cathedral Latin"/>
    <s v="Geauga"/>
    <x v="0"/>
    <n v="1"/>
    <x v="0"/>
    <n v="727"/>
    <n v="21446.5"/>
    <n v="738.06100000000004"/>
    <n v="1.0152145804676753"/>
    <n v="584.18991082219873"/>
    <n v="22030.689910822199"/>
    <n v="0"/>
    <n v="0"/>
    <n v="22030.689910822199"/>
    <n v="30.303562463304264"/>
  </r>
  <r>
    <s v="060947"/>
    <s v="St Anselm"/>
    <s v="Geauga"/>
    <x v="0"/>
    <n v="1"/>
    <x v="0"/>
    <n v="156"/>
    <n v="4602"/>
    <n v="167.08619999999999"/>
    <n v="1.0710653846153846"/>
    <n v="585.52085610315817"/>
    <n v="5187.5208561031577"/>
    <n v="0"/>
    <n v="0"/>
    <n v="5187.5208561031577"/>
    <n v="33.25333882117409"/>
  </r>
  <r>
    <s v="057448"/>
    <s v="St Helen"/>
    <s v="Geauga"/>
    <x v="0"/>
    <n v="1"/>
    <x v="0"/>
    <n v="184"/>
    <n v="5428"/>
    <n v="195.01140000000001"/>
    <n v="1.0598445652173913"/>
    <n v="581.57027249141515"/>
    <n v="6009.5702724914154"/>
    <n v="0"/>
    <n v="0"/>
    <n v="6009.5702724914154"/>
    <n v="32.660708002670738"/>
  </r>
  <r>
    <s v="057224"/>
    <s v="St Mary"/>
    <s v="Geauga"/>
    <x v="0"/>
    <n v="1"/>
    <x v="0"/>
    <n v="159"/>
    <n v="4690.5"/>
    <n v="166.47399999999999"/>
    <n v="1.047006289308176"/>
    <n v="394.74146944083657"/>
    <n v="5085.2414694408362"/>
    <n v="0"/>
    <n v="0"/>
    <n v="5085.2414694408362"/>
    <n v="31.982650751200229"/>
  </r>
  <r>
    <s v="047225"/>
    <s v="West Geauga Local"/>
    <s v="Geauga"/>
    <x v="1"/>
    <n v="1"/>
    <x v="10"/>
    <n v="2149.2089660000001"/>
    <n v="63401.664497000005"/>
    <n v="2231.3906867802698"/>
    <n v="1.0382381248544772"/>
    <n v="4340.451327532809"/>
    <n v="67742.115824532812"/>
    <n v="1360261.4175852938"/>
    <n v="27265.490220320266"/>
    <n v="95007.606044853077"/>
    <n v="44.205848546070634"/>
  </r>
  <r>
    <s v="047241"/>
    <s v="Beavercreek City"/>
    <s v="Greene"/>
    <x v="1"/>
    <n v="1"/>
    <x v="11"/>
    <n v="7857.4880450000001"/>
    <n v="231795.89732749999"/>
    <n v="9537.3712974018308"/>
    <n v="1.2137939304242149"/>
    <n v="88723.519339329854"/>
    <n v="320519.41666682984"/>
    <n v="5643866.0367028909"/>
    <n v="113127.35349186753"/>
    <n v="433646.77015869739"/>
    <n v="55.188982493539051"/>
  </r>
  <r>
    <s v="047274"/>
    <s v="Bellbrook-Sugarcreek Local"/>
    <s v="Greene"/>
    <x v="1"/>
    <n v="1"/>
    <x v="11"/>
    <n v="2634.3436379999998"/>
    <n v="77713.137321000002"/>
    <n v="3040.7777598216699"/>
    <n v="1.1542828794083355"/>
    <n v="21465.935573826897"/>
    <n v="99179.072894826895"/>
    <n v="1832824.5413277622"/>
    <n v="36737.688036352454"/>
    <n v="135916.76093117933"/>
    <n v="51.594165229851214"/>
  </r>
  <r>
    <s v="143040"/>
    <s v="Bethlehem Lutheran School"/>
    <s v="Greene"/>
    <x v="0"/>
    <n v="1"/>
    <x v="0"/>
    <n v="87"/>
    <n v="2566.5"/>
    <n v="90.9"/>
    <n v="1.0448275862068965"/>
    <n v="205.97962681552943"/>
    <n v="2772.4796268155296"/>
    <n v="0"/>
    <n v="0"/>
    <n v="2772.4796268155296"/>
    <n v="31.86758191741988"/>
  </r>
  <r>
    <s v="132936"/>
    <s v="Bright Beginnings"/>
    <s v="Greene"/>
    <x v="0"/>
    <n v="1"/>
    <x v="0"/>
    <n v="16"/>
    <n v="472"/>
    <n v="16.737400000000001"/>
    <n v="1.0460875000000001"/>
    <n v="38.945994054813177"/>
    <n v="510.94599405481318"/>
    <n v="0"/>
    <n v="0"/>
    <n v="510.94599405481318"/>
    <n v="31.934124628425824"/>
  </r>
  <r>
    <s v="047258"/>
    <s v="Cedar Cliff Local"/>
    <s v="Greene"/>
    <x v="1"/>
    <n v="1"/>
    <x v="7"/>
    <n v="605.78549099999998"/>
    <n v="17870.671984500001"/>
    <n v="698.65346400603403"/>
    <n v="1.1533017452311911"/>
    <n v="4904.8488263839808"/>
    <n v="22775.52081088398"/>
    <n v="280802.99604914663"/>
    <n v="5628.4999659887526"/>
    <n v="28404.020776872734"/>
    <n v="46.887918576565468"/>
  </r>
  <r>
    <s v="014173"/>
    <s v="Creative World of Montessori-Beavercreek"/>
    <s v="Greene"/>
    <x v="0"/>
    <n v="1"/>
    <x v="0"/>
    <n v="37"/>
    <n v="1091.5"/>
    <n v="37"/>
    <n v="1"/>
    <n v="0"/>
    <n v="1091.5"/>
    <n v="0"/>
    <n v="0"/>
    <n v="1091.5"/>
    <n v="29.5"/>
  </r>
  <r>
    <s v="134536"/>
    <s v="Dayton Islamic School, Inc"/>
    <s v="Greene"/>
    <x v="0"/>
    <n v="1"/>
    <x v="0"/>
    <n v="102"/>
    <n v="3009"/>
    <n v="104.61539999999999"/>
    <n v="1.0256411764705882"/>
    <n v="138.13310665982914"/>
    <n v="3147.1331066598291"/>
    <n v="0"/>
    <n v="0"/>
    <n v="3147.1331066598291"/>
    <n v="30.854246143723813"/>
  </r>
  <r>
    <s v="043968"/>
    <s v="Fairborn City "/>
    <s v="Greene"/>
    <x v="1"/>
    <n v="1"/>
    <x v="9"/>
    <n v="4158.6000409999997"/>
    <n v="122678.7012095"/>
    <n v="5609.5247986455697"/>
    <n v="1.3488974037754957"/>
    <n v="76631.01028647348"/>
    <n v="199309.71149597346"/>
    <n v="2563303.8741283701"/>
    <n v="51379.636155396402"/>
    <n v="250689.34765136987"/>
    <n v="60.28214908377862"/>
  </r>
  <r>
    <s v="149088"/>
    <s v="Fairborn Digital Academy"/>
    <s v="Greene"/>
    <x v="4"/>
    <n v="1"/>
    <x v="5"/>
    <n v="145.31485599999999"/>
    <n v="857.3576503999999"/>
    <n v="188.03688671210301"/>
    <n v="1.2939963049070704"/>
    <n v="0"/>
    <n v="857.3576503999999"/>
    <n v="0"/>
    <n v="0"/>
    <n v="857.3576503999999"/>
    <n v="5.8999999999999995"/>
  </r>
  <r>
    <s v="051045"/>
    <s v="Greene County Vocational School District"/>
    <s v="Greene"/>
    <x v="3"/>
    <n v="1"/>
    <x v="4"/>
    <n v="890.070875"/>
    <n v="26257.090812499999"/>
    <n v="1263.9213979940901"/>
    <n v="1.4200233189228779"/>
    <n v="19745.023387464887"/>
    <n v="46002.114199964883"/>
    <n v="0"/>
    <n v="0"/>
    <n v="46002.114199964883"/>
    <n v="51.683652945013939"/>
  </r>
  <r>
    <s v="047266"/>
    <s v="Greeneview Local"/>
    <s v="Greene"/>
    <x v="1"/>
    <n v="1"/>
    <x v="3"/>
    <n v="1273.140856"/>
    <n v="37557.655251999997"/>
    <n v="1491.6069324371699"/>
    <n v="1.1715961556080721"/>
    <n v="11538.348947790031"/>
    <n v="49096.004199790026"/>
    <n v="1206657.3672684319"/>
    <n v="24186.604296208279"/>
    <n v="73282.608495998313"/>
    <n v="57.560487632327082"/>
  </r>
  <r>
    <s v="067546"/>
    <s v="Legacy Christian Academy"/>
    <s v="Greene"/>
    <x v="0"/>
    <n v="1"/>
    <x v="0"/>
    <n v="373"/>
    <n v="11003.5"/>
    <n v="389.76099999999997"/>
    <n v="1.0449356568364609"/>
    <n v="885.23705770642994"/>
    <n v="11888.73705770643"/>
    <n v="0"/>
    <n v="0"/>
    <n v="11888.73705770643"/>
    <n v="31.873289698944852"/>
  </r>
  <r>
    <s v="054882"/>
    <s v="St Brigid"/>
    <s v="Greene"/>
    <x v="0"/>
    <n v="1"/>
    <x v="0"/>
    <n v="213"/>
    <n v="6283.5"/>
    <n v="220.7244"/>
    <n v="1.0362647887323944"/>
    <n v="407.96641778817275"/>
    <n v="6691.4664177881732"/>
    <n v="0"/>
    <n v="0"/>
    <n v="6691.4664177881732"/>
    <n v="31.415335294780157"/>
  </r>
  <r>
    <s v="055251"/>
    <s v="St Luke"/>
    <s v="Greene"/>
    <x v="0"/>
    <n v="1"/>
    <x v="0"/>
    <n v="322"/>
    <n v="9499"/>
    <n v="339.62279999999998"/>
    <n v="1.0547291925465838"/>
    <n v="930.75327370376999"/>
    <n v="10429.753273703769"/>
    <n v="0"/>
    <n v="0"/>
    <n v="10429.753273703769"/>
    <n v="32.390538117092447"/>
  </r>
  <r>
    <s v="132761"/>
    <s v="Summit Academy Community School Alternative Learners -Xenia"/>
    <s v="Greene"/>
    <x v="4"/>
    <n v="1"/>
    <x v="8"/>
    <n v="194.736718"/>
    <n v="5744.7331809999996"/>
    <n v="576.7232554556"/>
    <n v="2.9615537397297618"/>
    <n v="20174.729341964263"/>
    <n v="25919.462522964262"/>
    <n v="0"/>
    <n v="0"/>
    <n v="25919.462522964262"/>
    <n v="133.10002750977998"/>
  </r>
  <r>
    <s v="045153"/>
    <s v="Xenia Community City"/>
    <s v="Greene"/>
    <x v="1"/>
    <n v="1"/>
    <x v="6"/>
    <n v="4051.3583990000002"/>
    <n v="119515.0727705"/>
    <n v="5418.2555323697798"/>
    <n v="1.3373923012358453"/>
    <n v="72193.067032493258"/>
    <n v="191708.13980299328"/>
    <n v="3895472.3881842084"/>
    <n v="78082.023742251913"/>
    <n v="269790.16354524519"/>
    <n v="66.592519588451538"/>
  </r>
  <r>
    <s v="045674"/>
    <s v="Yellow Springs Exempted Village"/>
    <s v="Greene"/>
    <x v="1"/>
    <n v="1"/>
    <x v="11"/>
    <n v="667.70063200000004"/>
    <n v="19697.168644000001"/>
    <n v="800.57847487625997"/>
    <n v="1.1990081130794257"/>
    <n v="7017.9816635139832"/>
    <n v="26715.150307513984"/>
    <n v="168873.77101442462"/>
    <n v="3384.9568123721947"/>
    <n v="30100.107119886179"/>
    <n v="45.080243566230706"/>
  </r>
  <r>
    <s v="043695"/>
    <s v="Cambridge City"/>
    <s v="Guernsey"/>
    <x v="1"/>
    <n v="1"/>
    <x v="6"/>
    <n v="1931.1337100000001"/>
    <n v="56968.444445000001"/>
    <n v="2514.0501978699699"/>
    <n v="1.3018519561081918"/>
    <n v="30786.902727198794"/>
    <n v="87755.347172198788"/>
    <n v="928842.60549472773"/>
    <n v="18618.00139953267"/>
    <n v="106373.34857173146"/>
    <n v="55.083367879136375"/>
  </r>
  <r>
    <s v="069682"/>
    <s v="East Guernsey Local"/>
    <s v="Guernsey"/>
    <x v="1"/>
    <n v="1"/>
    <x v="3"/>
    <n v="1016.478114"/>
    <n v="29986.104362999999"/>
    <n v="1296.3028528894099"/>
    <n v="1.2752885035451043"/>
    <n v="14779.024433382956"/>
    <n v="44765.128796382953"/>
    <n v="1670537.4189641201"/>
    <n v="33484.755996609179"/>
    <n v="78249.884792992132"/>
    <n v="76.981376888742474"/>
  </r>
  <r>
    <s v="047308"/>
    <s v="Rolling Hills Local"/>
    <s v="Guernsey"/>
    <x v="1"/>
    <n v="1"/>
    <x v="1"/>
    <n v="1535.6862249999999"/>
    <n v="45302.743637499996"/>
    <n v="1954.8775361268499"/>
    <n v="1.2729667716638209"/>
    <n v="22139.710212877158"/>
    <n v="67442.453850377147"/>
    <n v="1278024.6910744645"/>
    <n v="25617.112464805799"/>
    <n v="93059.56631518295"/>
    <n v="60.598034155826952"/>
  </r>
  <r>
    <s v="058255"/>
    <s v="St Benedict"/>
    <s v="Guernsey"/>
    <x v="0"/>
    <n v="1"/>
    <x v="0"/>
    <n v="90"/>
    <n v="2655"/>
    <n v="97.761799999999994"/>
    <n v="1.0862422222222221"/>
    <n v="409.94170959404426"/>
    <n v="3064.9417095940444"/>
    <n v="0"/>
    <n v="0"/>
    <n v="3064.9417095940444"/>
    <n v="34.054907884378274"/>
  </r>
  <r>
    <s v="017212"/>
    <s v="Academy of Junior Scholars"/>
    <s v="Hamilton"/>
    <x v="4"/>
    <n v="1"/>
    <x v="8"/>
    <n v="29.824674999999999"/>
    <n v="879.82791250000002"/>
    <n v="38.970088578381102"/>
    <n v="1.3066391696935877"/>
    <n v="483.01766049964419"/>
    <n v="1362.8455729996442"/>
    <n v="0"/>
    <n v="0"/>
    <n v="1362.8455729996442"/>
    <n v="45.695236343720232"/>
  </r>
  <r>
    <s v="017275"/>
    <s v="AchievePoint Career Academy - Cincinnati"/>
    <s v="Hamilton"/>
    <x v="4"/>
    <n v="1"/>
    <x v="8"/>
    <n v="60.334620000000001"/>
    <n v="1779.87129"/>
    <n v="77.850584793395399"/>
    <n v="1.2903136672344235"/>
    <n v="925.11074139936682"/>
    <n v="2704.9820313993669"/>
    <n v="0"/>
    <n v="0"/>
    <n v="2704.9820313993669"/>
    <n v="44.833000214460071"/>
  </r>
  <r>
    <s v="017998"/>
    <s v="Al Pi Darko Initiative"/>
    <s v="Hamilton"/>
    <x v="0"/>
    <n v="1"/>
    <x v="0"/>
    <n v="62"/>
    <n v="1829"/>
    <n v="66.874800000000008"/>
    <n v="1.078625806451613"/>
    <n v="257.46397046162639"/>
    <n v="2086.4639704616266"/>
    <n v="0"/>
    <n v="0"/>
    <n v="2086.4639704616266"/>
    <n v="33.652644684864946"/>
  </r>
  <r>
    <s v="053009"/>
    <s v="Aldersgate Christian Academy"/>
    <s v="Hamilton"/>
    <x v="0"/>
    <n v="1"/>
    <x v="0"/>
    <n v="162"/>
    <n v="4779"/>
    <n v="170.1114"/>
    <n v="1.0500703703703704"/>
    <n v="428.40593460294451"/>
    <n v="5207.4059346029444"/>
    <n v="0"/>
    <n v="0"/>
    <n v="5207.4059346029444"/>
    <n v="32.144481077795952"/>
  </r>
  <r>
    <s v="054205"/>
    <s v="All Saints"/>
    <s v="Hamilton"/>
    <x v="0"/>
    <n v="1"/>
    <x v="0"/>
    <n v="497"/>
    <n v="14661.5"/>
    <n v="505.07400000000001"/>
    <n v="1.0162454728370223"/>
    <n v="426.43064279707295"/>
    <n v="15087.930642797073"/>
    <n v="0"/>
    <n v="0"/>
    <n v="15087.930642797073"/>
    <n v="30.35800934164401"/>
  </r>
  <r>
    <s v="000139"/>
    <s v="Alliance Academy of Cincinnati"/>
    <s v="Hamilton"/>
    <x v="4"/>
    <n v="1"/>
    <x v="8"/>
    <n v="583.44252800000004"/>
    <n v="17211.554576000002"/>
    <n v="782.09079358874897"/>
    <n v="1.3404761498441007"/>
    <n v="10491.665541928876"/>
    <n v="27703.220117928879"/>
    <n v="0"/>
    <n v="0"/>
    <n v="27703.220117928879"/>
    <n v="47.482346226788728"/>
  </r>
  <r>
    <s v="121491"/>
    <s v="Altercrest Day Treatment"/>
    <s v="Hamilton"/>
    <x v="0"/>
    <n v="1"/>
    <x v="0"/>
    <n v="40"/>
    <n v="1180"/>
    <n v="44.8"/>
    <n v="1.1199999999999999"/>
    <n v="253.51338684988184"/>
    <n v="1433.513386849882"/>
    <n v="0"/>
    <n v="0"/>
    <n v="1433.513386849882"/>
    <n v="35.837834671247052"/>
  </r>
  <r>
    <s v="054213"/>
    <s v="Annunciation"/>
    <s v="Hamilton"/>
    <x v="0"/>
    <n v="1"/>
    <x v="0"/>
    <n v="136"/>
    <n v="4012"/>
    <n v="150.90539999999999"/>
    <n v="1.1095985294117645"/>
    <n v="787.23300757338075"/>
    <n v="4799.2330075733807"/>
    <n v="0"/>
    <n v="0"/>
    <n v="4799.2330075733807"/>
    <n v="35.288477996863094"/>
  </r>
  <r>
    <s v="094490"/>
    <s v="Beautiful Savior Lutheran"/>
    <s v="Hamilton"/>
    <x v="0"/>
    <n v="1"/>
    <x v="0"/>
    <n v="83"/>
    <n v="2448.5"/>
    <n v="83"/>
    <n v="1"/>
    <n v="0"/>
    <n v="2448.5"/>
    <n v="0"/>
    <n v="0"/>
    <n v="2448.5"/>
    <n v="29.5"/>
  </r>
  <r>
    <s v="060624"/>
    <s v="Bethany"/>
    <s v="Hamilton"/>
    <x v="0"/>
    <n v="1"/>
    <x v="0"/>
    <n v="200"/>
    <n v="5900"/>
    <n v="200"/>
    <n v="1"/>
    <n v="0"/>
    <n v="5900"/>
    <n v="0"/>
    <n v="0"/>
    <n v="5900"/>
    <n v="29.5"/>
  </r>
  <r>
    <s v="017460"/>
    <s v="Bethel Christian Academy"/>
    <s v="Hamilton"/>
    <x v="0"/>
    <n v="1"/>
    <x v="0"/>
    <n v="13"/>
    <n v="383.5"/>
    <n v="13"/>
    <n v="1"/>
    <n v="0"/>
    <n v="383.5"/>
    <n v="0"/>
    <n v="0"/>
    <n v="383.5"/>
    <n v="29.5"/>
  </r>
  <r>
    <s v="096172"/>
    <s v="Blue Ash Educational Bldg"/>
    <s v="Hamilton"/>
    <x v="0"/>
    <n v="1"/>
    <x v="0"/>
    <n v="14"/>
    <n v="413"/>
    <n v="14"/>
    <n v="1"/>
    <n v="0"/>
    <n v="413"/>
    <n v="0"/>
    <n v="0"/>
    <n v="413"/>
    <n v="29.5"/>
  </r>
  <r>
    <s v="054270"/>
    <s v="Cardinal Pacelli"/>
    <s v="Hamilton"/>
    <x v="0"/>
    <n v="1"/>
    <x v="0"/>
    <n v="298"/>
    <n v="8791"/>
    <n v="315.4228"/>
    <n v="1.0584657718120805"/>
    <n v="920.19021591835894"/>
    <n v="9711.1902159183592"/>
    <n v="0"/>
    <n v="0"/>
    <n v="9711.1902159183592"/>
    <n v="32.587886630598518"/>
  </r>
  <r>
    <s v="064923"/>
    <s v="Central Baptist Academy - Elementary"/>
    <s v="Hamilton"/>
    <x v="0"/>
    <n v="1"/>
    <x v="0"/>
    <n v="150"/>
    <n v="4425"/>
    <n v="150"/>
    <n v="1"/>
    <n v="0"/>
    <n v="4425"/>
    <n v="0"/>
    <n v="0"/>
    <n v="4425"/>
    <n v="29.5"/>
  </r>
  <r>
    <s v="120675"/>
    <s v="Central Montessori Academy"/>
    <s v="Hamilton"/>
    <x v="0"/>
    <n v="1"/>
    <x v="0"/>
    <n v="64"/>
    <n v="1888"/>
    <n v="64"/>
    <n v="1"/>
    <n v="0"/>
    <n v="1888"/>
    <n v="0"/>
    <n v="0"/>
    <n v="1888"/>
    <n v="29.5"/>
  </r>
  <r>
    <s v="125013"/>
    <s v="Children's House-Delhi, The"/>
    <s v="Hamilton"/>
    <x v="0"/>
    <n v="1"/>
    <x v="0"/>
    <n v="18"/>
    <n v="531"/>
    <n v="18"/>
    <n v="1"/>
    <n v="0"/>
    <n v="531"/>
    <n v="0"/>
    <n v="0"/>
    <n v="531"/>
    <n v="29.5"/>
  </r>
  <r>
    <s v="132597"/>
    <s v="Childrens House-Kdg-Bridgetown"/>
    <s v="Hamilton"/>
    <x v="0"/>
    <n v="1"/>
    <x v="0"/>
    <n v="13"/>
    <n v="383.5"/>
    <n v="13"/>
    <n v="1"/>
    <n v="0"/>
    <n v="383.5"/>
    <n v="0"/>
    <n v="0"/>
    <n v="383.5"/>
    <n v="29.5"/>
  </r>
  <r>
    <s v="133512"/>
    <s v="Cincinnati College Preparatory Academy"/>
    <s v="Hamilton"/>
    <x v="4"/>
    <n v="1"/>
    <x v="8"/>
    <n v="942.04722800000002"/>
    <n v="27790.393226"/>
    <n v="1188.24812183478"/>
    <n v="1.2613466570646075"/>
    <n v="13003.171341984023"/>
    <n v="40793.564567984024"/>
    <n v="0"/>
    <n v="0"/>
    <n v="40793.564567984024"/>
    <n v="43.303099202988179"/>
  </r>
  <r>
    <s v="052894"/>
    <s v="Cincinnati Country Day"/>
    <s v="Hamilton"/>
    <x v="0"/>
    <n v="1"/>
    <x v="0"/>
    <n v="688"/>
    <n v="20296"/>
    <n v="688"/>
    <n v="1"/>
    <n v="0"/>
    <n v="20296"/>
    <n v="0"/>
    <n v="0"/>
    <n v="20296"/>
    <n v="29.5"/>
  </r>
  <r>
    <s v="060590"/>
    <s v="Cincinnati Hebrew Day Chofetz"/>
    <s v="Hamilton"/>
    <x v="0"/>
    <n v="1"/>
    <x v="0"/>
    <n v="232"/>
    <n v="6844"/>
    <n v="259.64800000000002"/>
    <n v="1.1191724137931036"/>
    <n v="1460.2371082553216"/>
    <n v="8304.2371082553218"/>
    <n v="0"/>
    <n v="0"/>
    <n v="8304.2371082553218"/>
    <n v="35.794125466617764"/>
  </r>
  <r>
    <s v="111898"/>
    <s v="Cincinnati Hills Christian Academy"/>
    <s v="Hamilton"/>
    <x v="0"/>
    <n v="1"/>
    <x v="0"/>
    <n v="406"/>
    <n v="11977"/>
    <n v="406"/>
    <n v="1"/>
    <n v="0"/>
    <n v="11977"/>
    <n v="0"/>
    <n v="0"/>
    <n v="11977"/>
    <n v="29.5"/>
  </r>
  <r>
    <s v="122697"/>
    <s v="Cincinnati Hills Christian Academy"/>
    <s v="Hamilton"/>
    <x v="0"/>
    <n v="1"/>
    <x v="0"/>
    <n v="388"/>
    <n v="11446"/>
    <n v="388"/>
    <n v="1"/>
    <n v="0"/>
    <n v="11446"/>
    <n v="0"/>
    <n v="0"/>
    <n v="11446"/>
    <n v="29.5"/>
  </r>
  <r>
    <s v="008019"/>
    <s v="Cincinnati Hills Christian Academy- the Edyth B. Lindner Ele"/>
    <s v="Hamilton"/>
    <x v="0"/>
    <n v="1"/>
    <x v="0"/>
    <n v="216"/>
    <n v="6372"/>
    <n v="216"/>
    <n v="1"/>
    <n v="0"/>
    <n v="6372"/>
    <n v="0"/>
    <n v="0"/>
    <n v="6372"/>
    <n v="29.5"/>
  </r>
  <r>
    <s v="133207"/>
    <s v="Cincinnati Hills-Otto Armleder"/>
    <s v="Hamilton"/>
    <x v="0"/>
    <n v="1"/>
    <x v="0"/>
    <n v="107"/>
    <n v="3156.5"/>
    <n v="115.75579999999999"/>
    <n v="1.081829906542056"/>
    <n v="462.44010678754063"/>
    <n v="3618.9401067875406"/>
    <n v="0"/>
    <n v="0"/>
    <n v="3618.9401067875406"/>
    <n v="33.821870156892899"/>
  </r>
  <r>
    <s v="043752"/>
    <s v="Cincinnati Public Schools"/>
    <s v="Hamilton"/>
    <x v="1"/>
    <n v="1"/>
    <x v="13"/>
    <n v="35977.204177"/>
    <n v="1061327.5232215"/>
    <n v="50184.514975384802"/>
    <n v="1.394897578157767"/>
    <n v="750363.2246932151"/>
    <n v="1811690.7479147152"/>
    <n v="23227385.6750274"/>
    <n v="465576.72575194965"/>
    <n v="2277267.4736666647"/>
    <n v="63.297510903376626"/>
  </r>
  <r>
    <s v="013864"/>
    <s v="Cincinnati Technology Academy"/>
    <s v="Hamilton"/>
    <x v="4"/>
    <n v="1"/>
    <x v="8"/>
    <n v="217.96367900000001"/>
    <n v="6429.9285305000003"/>
    <n v="314.25533404828502"/>
    <n v="1.4417784444181867"/>
    <n v="5085.6715826398486"/>
    <n v="11515.600113139848"/>
    <n v="0"/>
    <n v="0"/>
    <n v="11515.600113139848"/>
    <n v="52.832656183693096"/>
  </r>
  <r>
    <s v="017431"/>
    <s v="Cincinnati Waldorf High School"/>
    <s v="Hamilton"/>
    <x v="0"/>
    <n v="1"/>
    <x v="0"/>
    <n v="14"/>
    <n v="413"/>
    <n v="19.4618"/>
    <n v="1.3901285714285714"/>
    <n v="288.46654506180948"/>
    <n v="701.46654506180948"/>
    <n v="0"/>
    <n v="0"/>
    <n v="701.46654506180948"/>
    <n v="50.104753218700679"/>
  </r>
  <r>
    <s v="134338"/>
    <s v="Cincinnati Waldorf School"/>
    <s v="Hamilton"/>
    <x v="0"/>
    <n v="1"/>
    <x v="0"/>
    <n v="233"/>
    <n v="6873.5"/>
    <n v="245.1114"/>
    <n v="1.0519802575107295"/>
    <n v="639.66709031117955"/>
    <n v="7513.1670903111799"/>
    <n v="0"/>
    <n v="0"/>
    <n v="7513.1670903111799"/>
    <n v="32.245352318932106"/>
  </r>
  <r>
    <s v="054031"/>
    <s v="Clifton Christian Academy"/>
    <s v="Hamilton"/>
    <x v="0"/>
    <n v="1"/>
    <x v="0"/>
    <n v="84"/>
    <n v="2478"/>
    <n v="98.60560000000001"/>
    <n v="1.1738761904761905"/>
    <n v="771.39898395304976"/>
    <n v="3249.3989839530495"/>
    <n v="0"/>
    <n v="0"/>
    <n v="3249.3989839530495"/>
    <n v="38.683321237536305"/>
  </r>
  <r>
    <s v="055038"/>
    <s v="Corryville Catholic"/>
    <s v="Hamilton"/>
    <x v="0"/>
    <n v="1"/>
    <x v="0"/>
    <n v="169"/>
    <n v="4985.5"/>
    <n v="209.44039999999998"/>
    <n v="1.2392923076923077"/>
    <n v="2135.8714103258258"/>
    <n v="7121.3714103258262"/>
    <n v="0"/>
    <n v="0"/>
    <n v="7121.3714103258262"/>
    <n v="42.138292368791873"/>
  </r>
  <r>
    <s v="017497"/>
    <s v="Cypress High School"/>
    <s v="Hamilton"/>
    <x v="4"/>
    <n v="1"/>
    <x v="8"/>
    <n v="42.57"/>
    <n v="1255.8150000000001"/>
    <n v="47.232754"/>
    <n v="1.10953145407564"/>
    <n v="246.26469970579888"/>
    <n v="1502.0796997057989"/>
    <n v="0"/>
    <n v="0"/>
    <n v="1502.0796997057989"/>
    <n v="35.284935393605799"/>
  </r>
  <r>
    <s v="043851"/>
    <s v="Deer Park Community City"/>
    <s v="Hamilton"/>
    <x v="1"/>
    <n v="1"/>
    <x v="9"/>
    <n v="1217.34635"/>
    <n v="35911.717324999998"/>
    <n v="1523.0184470715899"/>
    <n v="1.2510970662306498"/>
    <n v="16144.160123775966"/>
    <n v="52055.877448775966"/>
    <n v="47694.020517136996"/>
    <n v="955.99333566793064"/>
    <n v="53011.870784443898"/>
    <n v="43.547073340667509"/>
  </r>
  <r>
    <s v="012508"/>
    <s v="DePaul Cristo Rey High School"/>
    <s v="Hamilton"/>
    <x v="0"/>
    <n v="1"/>
    <x v="0"/>
    <n v="301"/>
    <n v="8879.5"/>
    <n v="345.60739999999998"/>
    <n v="1.148197342192691"/>
    <n v="2355.9527192848795"/>
    <n v="11235.45271928488"/>
    <n v="0"/>
    <n v="0"/>
    <n v="11235.45271928488"/>
    <n v="37.327085446129168"/>
  </r>
  <r>
    <s v="133264"/>
    <s v="Dohn Community"/>
    <s v="Hamilton"/>
    <x v="4"/>
    <n v="1"/>
    <x v="8"/>
    <n v="688.39546600000006"/>
    <n v="20307.666247000001"/>
    <n v="983.75242964488996"/>
    <n v="1.4290512913472471"/>
    <n v="15599.363371523648"/>
    <n v="35907.029618523651"/>
    <n v="0"/>
    <n v="0"/>
    <n v="35907.029618523651"/>
    <n v="52.160467917032513"/>
  </r>
  <r>
    <s v="052951"/>
    <s v="Elder"/>
    <s v="Hamilton"/>
    <x v="0"/>
    <n v="1"/>
    <x v="0"/>
    <n v="724"/>
    <n v="21358"/>
    <n v="777.20660000000009"/>
    <n v="1.0734897790055249"/>
    <n v="2810.1219518264488"/>
    <n v="24168.121951826448"/>
    <n v="0"/>
    <n v="0"/>
    <n v="24168.121951826448"/>
    <n v="33.381383911362498"/>
  </r>
  <r>
    <s v="047332"/>
    <s v="Finneytown Local"/>
    <s v="Hamilton"/>
    <x v="1"/>
    <n v="1"/>
    <x v="10"/>
    <n v="1344.2991159999999"/>
    <n v="39656.823921999996"/>
    <n v="1707.9296809371599"/>
    <n v="1.2704982548966877"/>
    <n v="19205.253349865703"/>
    <n v="58862.077271865695"/>
    <n v="539713.96425758488"/>
    <n v="10818.189521509925"/>
    <n v="69680.266793375617"/>
    <n v="51.833900628240556"/>
  </r>
  <r>
    <s v="047340"/>
    <s v="Forest Hills Local"/>
    <s v="Hamilton"/>
    <x v="1"/>
    <n v="1"/>
    <x v="11"/>
    <n v="7261.8017099999997"/>
    <n v="214223.15044499998"/>
    <n v="8228.3572056234807"/>
    <n v="1.1331013341072735"/>
    <n v="51048.907765390613"/>
    <n v="265272.05821039062"/>
    <n v="4099623.1986479275"/>
    <n v="82174.084175789845"/>
    <n v="347446.14238618047"/>
    <n v="47.845721524965803"/>
  </r>
  <r>
    <s v="051060"/>
    <s v="Great Oaks Career Campuses"/>
    <s v="Hamilton"/>
    <x v="3"/>
    <n v="1"/>
    <x v="4"/>
    <n v="3736.6911519999999"/>
    <n v="110232.38898399999"/>
    <n v="4566.0481264273203"/>
    <n v="1.2219495646525191"/>
    <n v="43802.728228050204"/>
    <n v="154035.11721205019"/>
    <n v="0"/>
    <n v="0"/>
    <n v="154035.11721205019"/>
    <n v="41.222330384357704"/>
  </r>
  <r>
    <s v="054320"/>
    <s v="Guardian Angels"/>
    <s v="Hamilton"/>
    <x v="0"/>
    <n v="1"/>
    <x v="0"/>
    <n v="381"/>
    <n v="11239.5"/>
    <n v="393.19839999999999"/>
    <n v="1.0320167979002624"/>
    <n v="644.26202044783304"/>
    <n v="11883.762020447833"/>
    <n v="0"/>
    <n v="0"/>
    <n v="11883.762020447833"/>
    <n v="31.19097643162161"/>
  </r>
  <r>
    <s v="143602"/>
    <s v="Hamilton Cnty Math &amp; Science"/>
    <s v="Hamilton"/>
    <x v="4"/>
    <n v="1"/>
    <x v="8"/>
    <n v="618.63385300000004"/>
    <n v="18249.698663500003"/>
    <n v="686.45995938068302"/>
    <n v="1.1096385302093756"/>
    <n v="3582.2554052931946"/>
    <n v="21831.954068793199"/>
    <n v="0"/>
    <n v="0"/>
    <n v="21831.954068793199"/>
    <n v="35.290590650546243"/>
  </r>
  <r>
    <n v="67231"/>
    <s v="Hamilton County Board of DD"/>
    <s v="Hamilton"/>
    <x v="2"/>
    <n v="1"/>
    <x v="2"/>
    <n v="70.17"/>
    <n v="2070.0149999999999"/>
    <n v="333.29401200000001"/>
    <n v="4.7498077811030353"/>
    <n v="13896.970717426873"/>
    <n v="15966.985717426873"/>
    <n v="0"/>
    <n v="0"/>
    <n v="15966.985717426873"/>
    <n v="227.54718137988988"/>
  </r>
  <r>
    <s v="019213"/>
    <s v="Heart Montessori"/>
    <s v="Hamilton"/>
    <x v="0"/>
    <n v="1"/>
    <x v="0"/>
    <n v="11"/>
    <n v="324.5"/>
    <n v="11"/>
    <n v="1"/>
    <n v="0"/>
    <n v="324.5"/>
    <n v="0"/>
    <n v="0"/>
    <n v="324.5"/>
    <n v="29.5"/>
  </r>
  <r>
    <s v="008973"/>
    <s v="Heaven's Treasures Academy"/>
    <s v="Hamilton"/>
    <x v="0"/>
    <n v="1"/>
    <x v="0"/>
    <n v="34"/>
    <n v="1003"/>
    <n v="34"/>
    <n v="1"/>
    <n v="0"/>
    <n v="1003"/>
    <n v="0"/>
    <n v="0"/>
    <n v="1003"/>
    <n v="29.5"/>
  </r>
  <r>
    <s v="132506"/>
    <s v="Hillcrest Training School"/>
    <s v="Hamilton"/>
    <x v="0"/>
    <n v="1"/>
    <x v="0"/>
    <n v="48"/>
    <n v="1416"/>
    <n v="60.535800000000002"/>
    <n v="1.2611625"/>
    <n v="662.08189893182316"/>
    <n v="2078.0818989318232"/>
    <n v="0"/>
    <n v="0"/>
    <n v="2078.0818989318232"/>
    <n v="43.293372894412983"/>
  </r>
  <r>
    <s v="054361"/>
    <s v="Holy Family"/>
    <s v="Hamilton"/>
    <x v="0"/>
    <n v="1"/>
    <x v="0"/>
    <n v="191"/>
    <n v="5634.5"/>
    <n v="246.35239999999999"/>
    <n v="1.2898031413612565"/>
    <n v="2923.4529988061263"/>
    <n v="8557.9529988061258"/>
    <n v="0"/>
    <n v="0"/>
    <n v="8557.9529988061258"/>
    <n v="44.80603664296401"/>
  </r>
  <r>
    <s v="000804"/>
    <s v="Horizon Science Academy-Cincinnati"/>
    <s v="Hamilton"/>
    <x v="4"/>
    <n v="1"/>
    <x v="8"/>
    <n v="225.22448900000001"/>
    <n v="6644.1224254999997"/>
    <n v="302.87685572276303"/>
    <n v="1.3447776352719931"/>
    <n v="4101.2321843326508"/>
    <n v="10745.354609832651"/>
    <n v="0"/>
    <n v="0"/>
    <n v="10745.354609832651"/>
    <n v="47.709530422478394"/>
  </r>
  <r>
    <s v="054437"/>
    <s v="Immaculate Heart Of Mary"/>
    <s v="Hamilton"/>
    <x v="0"/>
    <n v="1"/>
    <x v="0"/>
    <n v="550"/>
    <n v="16225"/>
    <n v="569.47239999999999"/>
    <n v="1.0354043636363637"/>
    <n v="1028.4404321032584"/>
    <n v="17253.44043210326"/>
    <n v="0"/>
    <n v="0"/>
    <n v="17253.44043210326"/>
    <n v="31.369891694733198"/>
  </r>
  <r>
    <s v="045435"/>
    <s v="Indian Hill Exempted Village"/>
    <s v="Hamilton"/>
    <x v="1"/>
    <n v="1"/>
    <x v="11"/>
    <n v="2003.466054"/>
    <n v="59102.248592999997"/>
    <n v="2211.9892224140099"/>
    <n v="1.1040812086622007"/>
    <n v="11013.211387771664"/>
    <n v="70115.459980771659"/>
    <n v="1558561.7800609169"/>
    <n v="31240.282509410565"/>
    <n v="101355.74249018222"/>
    <n v="50.590197067637575"/>
  </r>
  <r>
    <s v="054809"/>
    <s v="John Paul II Catholic School"/>
    <s v="Hamilton"/>
    <x v="0"/>
    <n v="1"/>
    <x v="0"/>
    <n v="406"/>
    <n v="11977"/>
    <n v="433.94720000000001"/>
    <n v="1.0688354679802956"/>
    <n v="1476.0394427022968"/>
    <n v="13453.039442702297"/>
    <n v="0"/>
    <n v="0"/>
    <n v="13453.039442702297"/>
    <n v="33.135565129808612"/>
  </r>
  <r>
    <s v="132688"/>
    <s v="KinderCare Learning Center"/>
    <s v="Hamilton"/>
    <x v="0"/>
    <n v="1"/>
    <x v="0"/>
    <n v="12"/>
    <n v="354"/>
    <n v="12"/>
    <n v="1"/>
    <n v="0"/>
    <n v="354"/>
    <n v="0"/>
    <n v="0"/>
    <n v="354"/>
    <n v="29.5"/>
  </r>
  <r>
    <s v="000576"/>
    <s v="King Academy Community School"/>
    <s v="Hamilton"/>
    <x v="4"/>
    <n v="1"/>
    <x v="8"/>
    <n v="125.150014"/>
    <n v="3691.9254129999999"/>
    <n v="159.49945360661701"/>
    <n v="1.2744661267606172"/>
    <n v="1814.1755773060327"/>
    <n v="5506.1009903060331"/>
    <n v="0"/>
    <n v="0"/>
    <n v="5506.1009903060331"/>
    <n v="43.996007785552727"/>
  </r>
  <r>
    <s v="053140"/>
    <s v="Lasalle"/>
    <s v="Hamilton"/>
    <x v="0"/>
    <n v="1"/>
    <x v="0"/>
    <n v="550"/>
    <n v="16225"/>
    <n v="608.45540000000005"/>
    <n v="1.1062825454545455"/>
    <n v="3087.3388403467929"/>
    <n v="19312.338840346794"/>
    <n v="0"/>
    <n v="0"/>
    <n v="19312.338840346794"/>
    <n v="35.113343346085081"/>
  </r>
  <r>
    <s v="133785"/>
    <s v="Life Skills Ctr Of Cincinnati"/>
    <s v="Hamilton"/>
    <x v="4"/>
    <n v="1"/>
    <x v="8"/>
    <n v="93.913030000000006"/>
    <n v="2770.434385"/>
    <n v="144.756398382865"/>
    <n v="1.5413877965907925"/>
    <n v="2685.3071911658985"/>
    <n v="5455.7415761658986"/>
    <n v="0"/>
    <n v="0"/>
    <n v="5455.7415761658986"/>
    <n v="58.093552898526418"/>
  </r>
  <r>
    <s v="096347"/>
    <s v="Linden Grove School"/>
    <s v="Hamilton"/>
    <x v="0"/>
    <n v="1"/>
    <x v="0"/>
    <n v="88"/>
    <n v="2596"/>
    <n v="88"/>
    <n v="1"/>
    <n v="0"/>
    <n v="2596"/>
    <n v="0"/>
    <n v="0"/>
    <n v="2596"/>
    <n v="29.5"/>
  </r>
  <r>
    <s v="044230"/>
    <s v="Lockland Local"/>
    <s v="Hamilton"/>
    <x v="1"/>
    <n v="1"/>
    <x v="9"/>
    <n v="541.21539600000006"/>
    <n v="15965.854182000001"/>
    <n v="783.75438435039905"/>
    <n v="1.4481376364067791"/>
    <n v="12809.766745802861"/>
    <n v="28775.620927802862"/>
    <n v="17623.312050842702"/>
    <n v="353.24698338124716"/>
    <n v="29128.867911184108"/>
    <n v="53.821210790507713"/>
  </r>
  <r>
    <s v="044271"/>
    <s v="Loveland City"/>
    <s v="Hamilton"/>
    <x v="1"/>
    <n v="1"/>
    <x v="11"/>
    <n v="4427.6684519999999"/>
    <n v="130616.21933399999"/>
    <n v="5198.8568669090901"/>
    <n v="1.1741748333845414"/>
    <n v="40730.538950624061"/>
    <n v="171346.75828462405"/>
    <n v="3184312.3632238409"/>
    <n v="63827.31765784313"/>
    <n v="235174.0759424672"/>
    <n v="53.114653568118428"/>
  </r>
  <r>
    <s v="044289"/>
    <s v="Madeira City"/>
    <s v="Hamilton"/>
    <x v="1"/>
    <n v="1"/>
    <x v="11"/>
    <n v="1474.9013299999999"/>
    <n v="43509.589234999999"/>
    <n v="1680.92245932739"/>
    <n v="1.1396846861121144"/>
    <n v="10881.065470505046"/>
    <n v="54390.654705505047"/>
    <n v="767715.58322690881"/>
    <n v="15388.322756091273"/>
    <n v="69778.977461596325"/>
    <n v="47.310946191631906"/>
  </r>
  <r>
    <s v="044313"/>
    <s v="Mariemont City"/>
    <s v="Hamilton"/>
    <x v="1"/>
    <n v="1"/>
    <x v="11"/>
    <n v="1615.6095869999999"/>
    <n v="47660.4828165"/>
    <n v="1807.6087511727901"/>
    <n v="1.1188400748037837"/>
    <n v="10140.4913295397"/>
    <n v="57800.974146039698"/>
    <n v="419655.17543675675"/>
    <n v="8411.6949388224566"/>
    <n v="66212.669084862151"/>
    <n v="40.983087509285838"/>
  </r>
  <r>
    <s v="053298"/>
    <s v="McNicholas"/>
    <s v="Hamilton"/>
    <x v="0"/>
    <n v="1"/>
    <x v="0"/>
    <n v="501"/>
    <n v="14779.5"/>
    <n v="528.38380000000006"/>
    <n v="1.0546582834331339"/>
    <n v="1446.2833089207948"/>
    <n v="16225.783308920794"/>
    <n v="0"/>
    <n v="0"/>
    <n v="16225.783308920794"/>
    <n v="32.386793031778033"/>
  </r>
  <r>
    <s v="053272"/>
    <s v="Mercy McAuley High School"/>
    <s v="Hamilton"/>
    <x v="0"/>
    <n v="1"/>
    <x v="0"/>
    <n v="558"/>
    <n v="16461"/>
    <n v="589.83420000000001"/>
    <n v="1.0570505376344086"/>
    <n v="1681.3324707617739"/>
    <n v="18142.332470761772"/>
    <n v="0"/>
    <n v="0"/>
    <n v="18142.332470761772"/>
    <n v="32.513140628605328"/>
  </r>
  <r>
    <s v="067447"/>
    <s v="Mercy Montessori Center"/>
    <s v="Hamilton"/>
    <x v="0"/>
    <n v="1"/>
    <x v="0"/>
    <n v="202"/>
    <n v="5959"/>
    <n v="222.28820000000002"/>
    <n v="1.1004366336633664"/>
    <n v="1071.5271448099543"/>
    <n v="7030.5271448099538"/>
    <n v="0"/>
    <n v="0"/>
    <n v="7030.5271448099538"/>
    <n v="34.804589825791851"/>
  </r>
  <r>
    <s v="126615"/>
    <s v="Miami Valley Christian Academy"/>
    <s v="Hamilton"/>
    <x v="0"/>
    <n v="1"/>
    <x v="0"/>
    <n v="834"/>
    <n v="24603"/>
    <n v="834"/>
    <n v="1"/>
    <n v="0"/>
    <n v="24603"/>
    <n v="0"/>
    <n v="0"/>
    <n v="24603"/>
    <n v="29.5"/>
  </r>
  <r>
    <s v="053306"/>
    <s v="Moeller"/>
    <s v="Hamilton"/>
    <x v="0"/>
    <n v="1"/>
    <x v="0"/>
    <n v="861"/>
    <n v="25399.5"/>
    <n v="921.46680000000003"/>
    <n v="1.0702285714285715"/>
    <n v="3193.5715124946778"/>
    <n v="28593.071512494676"/>
    <n v="0"/>
    <n v="0"/>
    <n v="28593.071512494676"/>
    <n v="33.209142290934587"/>
  </r>
  <r>
    <s v="017274"/>
    <s v="Mount Auburn Preparatory Academy"/>
    <s v="Hamilton"/>
    <x v="4"/>
    <n v="1"/>
    <x v="8"/>
    <n v="303.46625499999999"/>
    <n v="8952.2545224999994"/>
    <n v="366.63511380126801"/>
    <n v="1.2081577696382355"/>
    <n v="3336.2815287815483"/>
    <n v="12288.536051281548"/>
    <n v="0"/>
    <n v="0"/>
    <n v="12288.536051281548"/>
    <n v="40.493912745855539"/>
  </r>
  <r>
    <s v="053322"/>
    <s v="Mount Notre Dame"/>
    <s v="Hamilton"/>
    <x v="0"/>
    <n v="1"/>
    <x v="0"/>
    <n v="709"/>
    <n v="20915.5"/>
    <n v="730.38459999999998"/>
    <n v="1.0301616361071932"/>
    <n v="1129.4338275895793"/>
    <n v="22044.933827589579"/>
    <n v="0"/>
    <n v="0"/>
    <n v="22044.933827589579"/>
    <n v="31.092995525514215"/>
  </r>
  <r>
    <s v="044412"/>
    <s v="Mt Healthy City"/>
    <s v="Hamilton"/>
    <x v="1"/>
    <n v="1"/>
    <x v="9"/>
    <n v="3110.6540829999999"/>
    <n v="91764.295448499994"/>
    <n v="4544.7962792464004"/>
    <n v="1.461042005308181"/>
    <n v="75744.63445724023"/>
    <n v="167508.92990574022"/>
    <n v="1539671.0484225687"/>
    <n v="30861.630985459818"/>
    <n v="198370.56089120003"/>
    <n v="63.771334130436657"/>
  </r>
  <r>
    <s v="000953"/>
    <s v="Mt. Healthy Preparatory and Fitness Academy"/>
    <s v="Hamilton"/>
    <x v="4"/>
    <n v="1"/>
    <x v="8"/>
    <n v="264.022695"/>
    <n v="7788.6695024999999"/>
    <n v="378.24940391026303"/>
    <n v="1.4326397354222258"/>
    <n v="6032.9166342825774"/>
    <n v="13821.586136782578"/>
    <n v="0"/>
    <n v="0"/>
    <n v="13821.586136782578"/>
    <n v="52.349992627651112"/>
  </r>
  <r>
    <s v="054486"/>
    <s v="Nativity"/>
    <s v="Hamilton"/>
    <x v="0"/>
    <n v="1"/>
    <x v="0"/>
    <n v="414"/>
    <n v="12213"/>
    <n v="433.28540000000004"/>
    <n v="1.0465830917874397"/>
    <n v="1018.5639730739009"/>
    <n v="13231.5639730739"/>
    <n v="0"/>
    <n v="0"/>
    <n v="13231.5639730739"/>
    <n v="31.960299451869325"/>
  </r>
  <r>
    <s v="044511"/>
    <s v="North College Hill City"/>
    <s v="Hamilton"/>
    <x v="1"/>
    <n v="1"/>
    <x v="9"/>
    <n v="1554.929095"/>
    <n v="45870.4083025"/>
    <n v="2274.8322498053599"/>
    <n v="1.4629813392265065"/>
    <n v="38021.893120546185"/>
    <n v="83892.301423046185"/>
    <n v="48464.107680627232"/>
    <n v="971.42919509428282"/>
    <n v="84863.730618140471"/>
    <n v="54.577234994847451"/>
  </r>
  <r>
    <s v="047365"/>
    <s v="Northwest Local "/>
    <s v="Hamilton"/>
    <x v="1"/>
    <n v="1"/>
    <x v="10"/>
    <n v="8597.3469440000008"/>
    <n v="253621.73484800002"/>
    <n v="11101.297966546101"/>
    <n v="1.2912469438369685"/>
    <n v="132246.89671497646"/>
    <n v="385868.63156297652"/>
    <n v="5169138.002115719"/>
    <n v="103611.7615497497"/>
    <n v="489480.39311272622"/>
    <n v="56.933888593891105"/>
  </r>
  <r>
    <s v="044578"/>
    <s v="Norwood City "/>
    <s v="Hamilton"/>
    <x v="1"/>
    <n v="1"/>
    <x v="9"/>
    <n v="1892.1141829999999"/>
    <n v="55817.368398499995"/>
    <n v="2513.3332817231098"/>
    <n v="1.3283200899314382"/>
    <n v="32809.866186068088"/>
    <n v="88627.234584568083"/>
    <n v="59897.803623159452"/>
    <n v="1200.6096459054447"/>
    <n v="89827.844230473522"/>
    <n v="47.47485381038102"/>
  </r>
  <r>
    <s v="047373"/>
    <s v="Oak Hills Local "/>
    <s v="Hamilton"/>
    <x v="1"/>
    <n v="1"/>
    <x v="10"/>
    <n v="7396.794954"/>
    <n v="218205.45114300001"/>
    <n v="9058.8528524768408"/>
    <n v="1.2246997393888879"/>
    <n v="87782.068121554432"/>
    <n v="305987.51926455443"/>
    <n v="1971608.1295074152"/>
    <n v="39519.508146321139"/>
    <n v="345507.02741087554"/>
    <n v="46.710369769549182"/>
  </r>
  <r>
    <s v="132621"/>
    <s v="Ohio Valley Voices"/>
    <s v="Hamilton"/>
    <x v="0"/>
    <n v="1"/>
    <x v="0"/>
    <n v="12"/>
    <n v="354"/>
    <n v="42.233400000000003"/>
    <n v="3.5194500000000004"/>
    <n v="1596.7857562473382"/>
    <n v="1950.7857562473382"/>
    <n v="0"/>
    <n v="0"/>
    <n v="1950.7857562473382"/>
    <n v="162.56547968727818"/>
  </r>
  <r>
    <s v="000559"/>
    <s v="Orion Academy"/>
    <s v="Hamilton"/>
    <x v="4"/>
    <n v="1"/>
    <x v="8"/>
    <n v="497.63629800000001"/>
    <n v="14680.270791000001"/>
    <n v="648.262208149446"/>
    <n v="1.302682723818201"/>
    <n v="7955.3509644441801"/>
    <n v="22635.621755444183"/>
    <n v="0"/>
    <n v="0"/>
    <n v="22635.621755444183"/>
    <n v="45.486275511687417"/>
  </r>
  <r>
    <s v="054742"/>
    <s v="Our Lady of Grace Catholic School"/>
    <s v="Hamilton"/>
    <x v="0"/>
    <n v="1"/>
    <x v="0"/>
    <n v="412"/>
    <n v="12154"/>
    <n v="473.76679999999999"/>
    <n v="1.1499194174757281"/>
    <n v="3262.2313880998518"/>
    <n v="15416.231388099852"/>
    <n v="0"/>
    <n v="0"/>
    <n v="15416.231388099852"/>
    <n v="37.418037349756922"/>
  </r>
  <r>
    <s v="054510"/>
    <s v="Our Lady Of Lourdes"/>
    <s v="Hamilton"/>
    <x v="0"/>
    <n v="1"/>
    <x v="0"/>
    <n v="308"/>
    <n v="9086"/>
    <n v="339.6506"/>
    <n v="1.1027616883116882"/>
    <n v="1671.6355837147653"/>
    <n v="10757.635583714766"/>
    <n v="0"/>
    <n v="0"/>
    <n v="10757.635583714766"/>
    <n v="34.927388258814176"/>
  </r>
  <r>
    <s v="054577"/>
    <s v="Our Lady Of Victory"/>
    <s v="Hamilton"/>
    <x v="0"/>
    <n v="1"/>
    <x v="0"/>
    <n v="403"/>
    <n v="11888.5"/>
    <n v="434.70819999999998"/>
    <n v="1.0786803970223324"/>
    <n v="1674.6777443569629"/>
    <n v="13563.177744356963"/>
    <n v="0"/>
    <n v="0"/>
    <n v="13563.177744356963"/>
    <n v="33.65552790163018"/>
  </r>
  <r>
    <s v="054585"/>
    <s v="Our Lady Of Visitation"/>
    <s v="Hamilton"/>
    <x v="0"/>
    <n v="1"/>
    <x v="0"/>
    <n v="731"/>
    <n v="21564.5"/>
    <n v="755.33420000000001"/>
    <n v="1.0332889192886456"/>
    <n v="1285.2178038088337"/>
    <n v="22849.717803808835"/>
    <n v="0"/>
    <n v="0"/>
    <n v="22849.717803808835"/>
    <n v="31.258163890299365"/>
  </r>
  <r>
    <s v="133504"/>
    <s v="Phoenix Community Learning Ctr"/>
    <s v="Hamilton"/>
    <x v="4"/>
    <n v="1"/>
    <x v="8"/>
    <n v="473.48402199999998"/>
    <n v="13967.778649"/>
    <n v="609.208450614806"/>
    <n v="1.2866504935932264"/>
    <n v="7168.3249117509404"/>
    <n v="21136.10356075094"/>
    <n v="0"/>
    <n v="0"/>
    <n v="21136.10356075094"/>
    <n v="44.639528640210251"/>
  </r>
  <r>
    <s v="044677"/>
    <s v="Princeton City"/>
    <s v="Hamilton"/>
    <x v="1"/>
    <n v="1"/>
    <x v="10"/>
    <n v="5735.5462870000001"/>
    <n v="169198.61546649999"/>
    <n v="7637.2842963512603"/>
    <n v="1.3315705103211661"/>
    <n v="100440.84242745636"/>
    <n v="269639.45789395634"/>
    <n v="3919256.9490317153"/>
    <n v="78558.768655250708"/>
    <n v="348198.22654920706"/>
    <n v="60.70881641011627"/>
  </r>
  <r>
    <s v="053454"/>
    <s v="Purcell-Marian"/>
    <s v="Hamilton"/>
    <x v="0"/>
    <n v="1"/>
    <x v="0"/>
    <n v="343"/>
    <n v="10118.5"/>
    <n v="411.82479999999998"/>
    <n v="1.2006553935860058"/>
    <n v="3635.0016973470324"/>
    <n v="13753.501697347032"/>
    <n v="0"/>
    <n v="0"/>
    <n v="13753.501697347032"/>
    <n v="40.097672587017584"/>
  </r>
  <r>
    <s v="019207"/>
    <s v="Rabbinical Yeshiva of Cincinnati"/>
    <s v="Hamilton"/>
    <x v="0"/>
    <n v="1"/>
    <x v="0"/>
    <n v="6"/>
    <n v="177"/>
    <n v="6"/>
    <n v="1"/>
    <n v="0"/>
    <n v="177"/>
    <n v="0"/>
    <n v="0"/>
    <n v="177"/>
    <n v="29.5"/>
  </r>
  <r>
    <s v="044693"/>
    <s v="Reading Community City"/>
    <s v="Hamilton"/>
    <x v="1"/>
    <n v="1"/>
    <x v="9"/>
    <n v="1522.913225"/>
    <n v="44925.940137500002"/>
    <n v="1890.74929498201"/>
    <n v="1.2415344905695529"/>
    <n v="19427.368313893661"/>
    <n v="64353.308451393663"/>
    <n v="72696.151946136"/>
    <n v="1457.1436007211473"/>
    <n v="65810.452052114808"/>
    <n v="43.21352718708895"/>
  </r>
  <r>
    <s v="017490"/>
    <s v="ReGeneration Bond Hill"/>
    <s v="Hamilton"/>
    <x v="4"/>
    <n v="1"/>
    <x v="8"/>
    <n v="146.51"/>
    <n v="4322.0450000000001"/>
    <n v="166.45239799999999"/>
    <n v="1.1361162924032489"/>
    <n v="1053.2635122683985"/>
    <n v="5375.3085122683988"/>
    <n v="0"/>
    <n v="0"/>
    <n v="5375.3085122683988"/>
    <n v="36.689021310957607"/>
  </r>
  <r>
    <s v="054635"/>
    <s v="Resurrection"/>
    <s v="Hamilton"/>
    <x v="0"/>
    <n v="1"/>
    <x v="0"/>
    <n v="182"/>
    <n v="5369"/>
    <n v="226.77479999999997"/>
    <n v="1.2460153846153845"/>
    <n v="2364.7939986512683"/>
    <n v="7733.7939986512683"/>
    <n v="0"/>
    <n v="0"/>
    <n v="7733.7939986512683"/>
    <n v="42.493373618963012"/>
  </r>
  <r>
    <s v="133678"/>
    <s v="Riverside Academy"/>
    <s v="Hamilton"/>
    <x v="4"/>
    <n v="1"/>
    <x v="8"/>
    <n v="208.77525399999999"/>
    <n v="6158.8699929999993"/>
    <n v="300.12843679535598"/>
    <n v="1.4375671016803362"/>
    <n v="4824.8447437431396"/>
    <n v="10983.714736743139"/>
    <n v="0"/>
    <n v="0"/>
    <n v="10983.714736743139"/>
    <n v="52.610232900222648"/>
  </r>
  <r>
    <s v="062604"/>
    <s v="Rockwern Academy"/>
    <s v="Hamilton"/>
    <x v="0"/>
    <n v="1"/>
    <x v="0"/>
    <n v="120"/>
    <n v="3540"/>
    <n v="127.25879999999999"/>
    <n v="1.0604899999999999"/>
    <n v="383.37561926373371"/>
    <n v="3923.3756192637338"/>
    <n v="0"/>
    <n v="0"/>
    <n v="3923.3756192637338"/>
    <n v="32.694796827197784"/>
  </r>
  <r>
    <s v="053488"/>
    <s v="Roger Bacon"/>
    <s v="Hamilton"/>
    <x v="0"/>
    <n v="1"/>
    <x v="0"/>
    <n v="496"/>
    <n v="14632"/>
    <n v="547.2944"/>
    <n v="1.1034161290322582"/>
    <n v="2709.128556340122"/>
    <n v="17341.128556340122"/>
    <n v="0"/>
    <n v="0"/>
    <n v="17341.128556340122"/>
    <n v="34.961952734556696"/>
  </r>
  <r>
    <s v="134817"/>
    <s v="Schilling School For Gifted"/>
    <s v="Hamilton"/>
    <x v="0"/>
    <n v="1"/>
    <x v="0"/>
    <n v="39"/>
    <n v="1150.5"/>
    <n v="39"/>
    <n v="1"/>
    <n v="0"/>
    <n v="1150.5"/>
    <n v="0"/>
    <n v="0"/>
    <n v="1150.5"/>
    <n v="29.5"/>
  </r>
  <r>
    <s v="053884"/>
    <s v="Seton"/>
    <s v="Hamilton"/>
    <x v="0"/>
    <n v="1"/>
    <x v="0"/>
    <n v="576"/>
    <n v="16992"/>
    <n v="612.63040000000001"/>
    <n v="1.0635944444444445"/>
    <n v="1934.6451595137332"/>
    <n v="18926.645159513733"/>
    <n v="0"/>
    <n v="0"/>
    <n v="18926.645159513733"/>
    <n v="32.858758957489123"/>
  </r>
  <r>
    <s v="052902"/>
    <s v="Seven Hills School"/>
    <s v="Hamilton"/>
    <x v="0"/>
    <n v="1"/>
    <x v="0"/>
    <n v="844"/>
    <n v="24898"/>
    <n v="844"/>
    <n v="1"/>
    <n v="0"/>
    <n v="24898"/>
    <n v="0"/>
    <n v="0"/>
    <n v="24898"/>
    <n v="29.5"/>
  </r>
  <r>
    <s v="017546"/>
    <s v="Skyward Academy"/>
    <s v="Hamilton"/>
    <x v="0"/>
    <n v="1"/>
    <x v="0"/>
    <n v="65"/>
    <n v="1917.5"/>
    <n v="112.93100000000001"/>
    <n v="1.7374000000000003"/>
    <n v="2531.4896135628537"/>
    <n v="4448.9896135628533"/>
    <n v="0"/>
    <n v="0"/>
    <n v="4448.9896135628533"/>
    <n v="68.445994054813127"/>
  </r>
  <r>
    <s v="047381"/>
    <s v="Southwest Local"/>
    <s v="Hamilton"/>
    <x v="1"/>
    <n v="1"/>
    <x v="7"/>
    <n v="3619.468347"/>
    <n v="106774.3162365"/>
    <n v="4333.4327775127103"/>
    <n v="1.1972567134354084"/>
    <n v="37708.237681171755"/>
    <n v="144482.55391767176"/>
    <n v="1972953.2542335049"/>
    <n v="39546.470232130654"/>
    <n v="184029.0241498024"/>
    <n v="50.844214262112565"/>
  </r>
  <r>
    <s v="016850"/>
    <s v="Southwest Ohio Preparatory School"/>
    <s v="Hamilton"/>
    <x v="4"/>
    <n v="1"/>
    <x v="8"/>
    <n v="173.39536899999999"/>
    <n v="5115.1633855"/>
    <n v="238.69618392275899"/>
    <n v="1.3766006860469209"/>
    <n v="3448.881407317906"/>
    <n v="8564.0447928179055"/>
    <n v="0"/>
    <n v="0"/>
    <n v="8564.0447928179055"/>
    <n v="49.390274043696671"/>
  </r>
  <r>
    <s v="067603"/>
    <s v="Springer School &amp; Center"/>
    <s v="Hamilton"/>
    <x v="0"/>
    <n v="1"/>
    <x v="0"/>
    <n v="164"/>
    <n v="4838"/>
    <n v="164"/>
    <n v="1"/>
    <n v="0"/>
    <n v="4838"/>
    <n v="0"/>
    <n v="0"/>
    <n v="4838"/>
    <n v="29.5"/>
  </r>
  <r>
    <s v="132571"/>
    <s v="Springs East School"/>
    <s v="Hamilton"/>
    <x v="0"/>
    <n v="1"/>
    <x v="0"/>
    <n v="2"/>
    <n v="59"/>
    <n v="2"/>
    <n v="1"/>
    <n v="0"/>
    <n v="59"/>
    <n v="0"/>
    <n v="0"/>
    <n v="59"/>
    <n v="29.5"/>
  </r>
  <r>
    <s v="054726"/>
    <s v="St Aloysius Educational Center"/>
    <s v="Hamilton"/>
    <x v="0"/>
    <n v="1"/>
    <x v="0"/>
    <n v="116"/>
    <n v="3422"/>
    <n v="219.83760000000001"/>
    <n v="1.8951517241379312"/>
    <n v="5484.2128454923559"/>
    <n v="8906.212845492355"/>
    <n v="0"/>
    <n v="0"/>
    <n v="8906.212845492355"/>
    <n v="76.777696943899613"/>
  </r>
  <r>
    <s v="054718"/>
    <s v="St Aloysius Gonzaga"/>
    <s v="Hamilton"/>
    <x v="0"/>
    <n v="1"/>
    <x v="0"/>
    <n v="154"/>
    <n v="4543"/>
    <n v="169.661"/>
    <n v="1.1016948051948052"/>
    <n v="827.14023988666725"/>
    <n v="5370.1402398866676"/>
    <n v="0"/>
    <n v="0"/>
    <n v="5370.1402398866676"/>
    <n v="34.871040518744593"/>
  </r>
  <r>
    <s v="054783"/>
    <s v="St Antoninus"/>
    <s v="Hamilton"/>
    <x v="0"/>
    <n v="1"/>
    <x v="0"/>
    <n v="368"/>
    <n v="10856"/>
    <n v="390.37239999999997"/>
    <n v="1.0607945652173911"/>
    <n v="1181.6047699917276"/>
    <n v="12037.604769991727"/>
    <n v="0"/>
    <n v="0"/>
    <n v="12037.604769991727"/>
    <n v="32.710882527151433"/>
  </r>
  <r>
    <s v="054833"/>
    <s v="St Bernard School"/>
    <s v="Hamilton"/>
    <x v="0"/>
    <n v="1"/>
    <x v="0"/>
    <n v="182"/>
    <n v="5369"/>
    <n v="202.66019999999997"/>
    <n v="1.1135175824175823"/>
    <n v="1091.1744322908178"/>
    <n v="6460.174432290818"/>
    <n v="0"/>
    <n v="0"/>
    <n v="6460.174432290818"/>
    <n v="35.495463913685811"/>
  </r>
  <r>
    <s v="044719"/>
    <s v="St Bernard-Elmwood Place City"/>
    <s v="Hamilton"/>
    <x v="1"/>
    <n v="1"/>
    <x v="9"/>
    <n v="904.26235399999996"/>
    <n v="26675.739442999999"/>
    <n v="1239.20215071405"/>
    <n v="1.3704011288675744"/>
    <n v="17689.942136622878"/>
    <n v="44365.681579622877"/>
    <n v="214784.13996657962"/>
    <n v="4305.1980979762438"/>
    <n v="48670.879677599121"/>
    <n v="53.823848203238505"/>
  </r>
  <r>
    <s v="054866"/>
    <s v="St Boniface"/>
    <s v="Hamilton"/>
    <x v="0"/>
    <n v="1"/>
    <x v="0"/>
    <n v="189"/>
    <n v="5575.5"/>
    <n v="219.22340000000003"/>
    <n v="1.1599121693121694"/>
    <n v="1596.2576033580688"/>
    <n v="7171.757603358069"/>
    <n v="0"/>
    <n v="0"/>
    <n v="7171.757603358069"/>
    <n v="37.945807425174969"/>
  </r>
  <r>
    <s v="054890"/>
    <s v="St Catharine Of Siena"/>
    <s v="Hamilton"/>
    <x v="0"/>
    <n v="1"/>
    <x v="0"/>
    <n v="164"/>
    <n v="4838"/>
    <n v="183.59219999999999"/>
    <n v="1.1194646341463415"/>
    <n v="1034.76770371672"/>
    <n v="5872.7677037167196"/>
    <n v="0"/>
    <n v="0"/>
    <n v="5872.7677037167196"/>
    <n v="35.809559169004388"/>
  </r>
  <r>
    <s v="054908"/>
    <s v="St Cecilia"/>
    <s v="Hamilton"/>
    <x v="0"/>
    <n v="1"/>
    <x v="0"/>
    <n v="235"/>
    <n v="6932.5"/>
    <n v="289.15819999999997"/>
    <n v="1.2304604255319147"/>
    <n v="2860.3809807694311"/>
    <n v="9792.8809807694306"/>
    <n v="0"/>
    <n v="0"/>
    <n v="9792.8809807694306"/>
    <n v="41.671833960720981"/>
  </r>
  <r>
    <s v="054957"/>
    <s v="St Clement"/>
    <s v="Hamilton"/>
    <x v="0"/>
    <n v="1"/>
    <x v="0"/>
    <n v="323"/>
    <n v="9528.5"/>
    <n v="396.85340000000002"/>
    <n v="1.2286482972136223"/>
    <n v="3900.5886592456418"/>
    <n v="13429.088659245641"/>
    <n v="0"/>
    <n v="0"/>
    <n v="13429.088659245641"/>
    <n v="41.576125880017464"/>
  </r>
  <r>
    <s v="054973"/>
    <s v="St Dominic"/>
    <s v="Hamilton"/>
    <x v="0"/>
    <n v="1"/>
    <x v="0"/>
    <n v="347"/>
    <n v="10236.5"/>
    <n v="364.93579999999997"/>
    <n v="1.0516881844380404"/>
    <n v="947.28445913793882"/>
    <n v="11183.784459137938"/>
    <n v="0"/>
    <n v="0"/>
    <n v="11183.784459137938"/>
    <n v="32.2299263952102"/>
  </r>
  <r>
    <s v="054999"/>
    <s v="St Francis Desales"/>
    <s v="Hamilton"/>
    <x v="0"/>
    <n v="1"/>
    <x v="0"/>
    <n v="209"/>
    <n v="6165.5"/>
    <n v="248.00979999999998"/>
    <n v="1.1866497607655502"/>
    <n v="2060.3138579867755"/>
    <n v="8225.8138579867755"/>
    <n v="0"/>
    <n v="0"/>
    <n v="8225.8138579867755"/>
    <n v="39.357961042998923"/>
  </r>
  <r>
    <s v="055012"/>
    <s v="St Francis Seraph"/>
    <s v="Hamilton"/>
    <x v="0"/>
    <n v="1"/>
    <x v="0"/>
    <n v="162"/>
    <n v="4779"/>
    <n v="193.4228"/>
    <n v="1.1939679012345679"/>
    <n v="1659.6042608971813"/>
    <n v="6438.6042608971811"/>
    <n v="0"/>
    <n v="0"/>
    <n v="6438.6042608971811"/>
    <n v="39.744470746278893"/>
  </r>
  <r>
    <s v="055020"/>
    <s v="St Gabriel"/>
    <s v="Hamilton"/>
    <x v="0"/>
    <n v="1"/>
    <x v="0"/>
    <n v="293"/>
    <n v="8643.5"/>
    <n v="303.3236"/>
    <n v="1.0352341296928327"/>
    <n v="545.24391676738367"/>
    <n v="9188.7439167673838"/>
    <n v="0"/>
    <n v="0"/>
    <n v="9188.7439167673838"/>
    <n v="31.360900739820423"/>
  </r>
  <r>
    <s v="055046"/>
    <s v="St Gertrude"/>
    <s v="Hamilton"/>
    <x v="0"/>
    <n v="1"/>
    <x v="0"/>
    <n v="338"/>
    <n v="9971"/>
    <n v="355.048"/>
    <n v="1.0504378698224852"/>
    <n v="900.39504562849766"/>
    <n v="10871.395045628498"/>
    <n v="0"/>
    <n v="0"/>
    <n v="10871.395045628498"/>
    <n v="32.163890667539938"/>
  </r>
  <r>
    <s v="055087"/>
    <s v="St Ignatius Loyola"/>
    <s v="Hamilton"/>
    <x v="0"/>
    <n v="1"/>
    <x v="0"/>
    <n v="1018"/>
    <n v="30031"/>
    <n v="1074.6928"/>
    <n v="1.0556903732809431"/>
    <n v="2994.2466120839581"/>
    <n v="33025.24661208396"/>
    <n v="0"/>
    <n v="0"/>
    <n v="33025.24661208396"/>
    <n v="32.441303155288765"/>
  </r>
  <r>
    <s v="055103"/>
    <s v="St James"/>
    <s v="Hamilton"/>
    <x v="0"/>
    <n v="1"/>
    <x v="0"/>
    <n v="549"/>
    <n v="16195.5"/>
    <n v="566.08540000000005"/>
    <n v="1.0311209471766849"/>
    <n v="902.37033743437223"/>
    <n v="17097.870337434371"/>
    <n v="0"/>
    <n v="0"/>
    <n v="17097.870337434371"/>
    <n v="31.143661816820348"/>
  </r>
  <r>
    <s v="055137"/>
    <s v="St John The Baptist"/>
    <s v="Hamilton"/>
    <x v="0"/>
    <n v="1"/>
    <x v="0"/>
    <n v="386"/>
    <n v="11387"/>
    <n v="400.34879999999998"/>
    <n v="1.0371730569948185"/>
    <n v="757.83601775657962"/>
    <n v="12144.836017756579"/>
    <n v="0"/>
    <n v="0"/>
    <n v="12144.836017756579"/>
    <n v="31.463305745483364"/>
  </r>
  <r>
    <s v="055145"/>
    <s v="St John The Baptist"/>
    <s v="Hamilton"/>
    <x v="0"/>
    <n v="1"/>
    <x v="0"/>
    <n v="222"/>
    <n v="6549"/>
    <n v="242.13499999999999"/>
    <n v="1.0906981981981982"/>
    <n v="1063.4358425463274"/>
    <n v="7612.435842546327"/>
    <n v="0"/>
    <n v="0"/>
    <n v="7612.435842546327"/>
    <n v="34.290251543001474"/>
  </r>
  <r>
    <s v="055160"/>
    <s v="St Joseph"/>
    <s v="Hamilton"/>
    <x v="0"/>
    <n v="1"/>
    <x v="0"/>
    <n v="229"/>
    <n v="6755.5"/>
    <n v="257.27379999999999"/>
    <n v="1.1234663755458516"/>
    <n v="1493.2889160658733"/>
    <n v="8248.7889160658742"/>
    <n v="0"/>
    <n v="0"/>
    <n v="8248.7889160658742"/>
    <n v="36.020912297230893"/>
  </r>
  <r>
    <s v="055202"/>
    <s v="St Joseph Villa Academy Sn"/>
    <s v="Hamilton"/>
    <x v="0"/>
    <n v="1"/>
    <x v="0"/>
    <n v="94"/>
    <n v="2773"/>
    <n v="103.2"/>
    <n v="1.0978723404255319"/>
    <n v="485.90065812894068"/>
    <n v="3258.9006581289404"/>
    <n v="0"/>
    <n v="0"/>
    <n v="3258.9006581289404"/>
    <n v="34.669155937541923"/>
  </r>
  <r>
    <s v="055210"/>
    <s v="St Jude"/>
    <s v="Hamilton"/>
    <x v="0"/>
    <n v="1"/>
    <x v="0"/>
    <n v="472"/>
    <n v="13924"/>
    <n v="483.79840000000002"/>
    <n v="1.0249966101694916"/>
    <n v="623.13590487701083"/>
    <n v="14547.13590487701"/>
    <n v="0"/>
    <n v="0"/>
    <n v="14547.13590487701"/>
    <n v="30.820203188298748"/>
  </r>
  <r>
    <s v="055228"/>
    <s v="St Lawrence"/>
    <s v="Hamilton"/>
    <x v="0"/>
    <n v="1"/>
    <x v="0"/>
    <n v="321"/>
    <n v="9469.5"/>
    <n v="408.8972"/>
    <n v="1.2738230529595016"/>
    <n v="4642.3160138794683"/>
    <n v="14111.816013879468"/>
    <n v="0"/>
    <n v="0"/>
    <n v="14111.816013879468"/>
    <n v="43.962043656945383"/>
  </r>
  <r>
    <s v="055293"/>
    <s v="St Martin Of Tours"/>
    <s v="Hamilton"/>
    <x v="0"/>
    <n v="1"/>
    <x v="0"/>
    <n v="268"/>
    <n v="7906"/>
    <n v="300.6388"/>
    <n v="1.1217865671641791"/>
    <n v="1723.8276522324852"/>
    <n v="9629.827652232485"/>
    <n v="0"/>
    <n v="0"/>
    <n v="9629.827652232485"/>
    <n v="35.932192732210765"/>
  </r>
  <r>
    <s v="055319"/>
    <s v="St Mary"/>
    <s v="Hamilton"/>
    <x v="0"/>
    <n v="1"/>
    <x v="0"/>
    <n v="452"/>
    <n v="13334"/>
    <n v="467.38879999999995"/>
    <n v="1.0340460176991149"/>
    <n v="812.76391824071891"/>
    <n v="14146.763918240718"/>
    <n v="0"/>
    <n v="0"/>
    <n v="14146.763918240718"/>
    <n v="31.298150261594511"/>
  </r>
  <r>
    <s v="055418"/>
    <s v="St Michael"/>
    <s v="Hamilton"/>
    <x v="0"/>
    <n v="1"/>
    <x v="0"/>
    <n v="421"/>
    <n v="12419.5"/>
    <n v="441.0256"/>
    <n v="1.0475667458432305"/>
    <n v="1057.6578499377076"/>
    <n v="13477.157849937708"/>
    <n v="0"/>
    <n v="0"/>
    <n v="13477.157849937708"/>
    <n v="32.012251425030186"/>
  </r>
  <r>
    <s v="053801"/>
    <s v="St Rita School for the Deaf"/>
    <s v="Hamilton"/>
    <x v="0"/>
    <n v="1"/>
    <x v="0"/>
    <n v="73"/>
    <n v="2153.5"/>
    <n v="122.4058"/>
    <n v="1.6767917808219177"/>
    <n v="2609.3816016724791"/>
    <n v="4762.8816016724795"/>
    <n v="0"/>
    <n v="0"/>
    <n v="4762.8816016724795"/>
    <n v="65.244953447568207"/>
  </r>
  <r>
    <s v="055582"/>
    <s v="St Teresa Of Avila"/>
    <s v="Hamilton"/>
    <x v="0"/>
    <n v="1"/>
    <x v="0"/>
    <n v="224"/>
    <n v="6608"/>
    <n v="255.88800000000001"/>
    <n v="1.1423571428571428"/>
    <n v="1684.1739333060498"/>
    <n v="8292.1739333060505"/>
    <n v="0"/>
    <n v="0"/>
    <n v="8292.1739333060505"/>
    <n v="37.018633630830585"/>
  </r>
  <r>
    <s v="053835"/>
    <s v="St Ursula Academy"/>
    <s v="Hamilton"/>
    <x v="0"/>
    <n v="1"/>
    <x v="0"/>
    <n v="648"/>
    <n v="19116"/>
    <n v="676.3463999999999"/>
    <n v="1.0437444444444444"/>
    <n v="1497.1233060419729"/>
    <n v="20613.123306041973"/>
    <n v="0"/>
    <n v="0"/>
    <n v="20613.123306041973"/>
    <n v="31.810375472286996"/>
  </r>
  <r>
    <s v="055608"/>
    <s v="St Ursula Villa"/>
    <s v="Hamilton"/>
    <x v="0"/>
    <n v="1"/>
    <x v="0"/>
    <n v="307"/>
    <n v="9056.5"/>
    <n v="320.27319999999997"/>
    <n v="1.0432351791530943"/>
    <n v="701.02789298663481"/>
    <n v="9757.5278929866345"/>
    <n v="0"/>
    <n v="0"/>
    <n v="9757.5278929866345"/>
    <n v="31.783478478783827"/>
  </r>
  <r>
    <s v="055632"/>
    <s v="St Vincent Ferrer"/>
    <s v="Hamilton"/>
    <x v="0"/>
    <n v="1"/>
    <x v="0"/>
    <n v="146"/>
    <n v="4307"/>
    <n v="159.89899999999997"/>
    <n v="1.095198630136986"/>
    <n v="734.07970079718814"/>
    <n v="5041.0797007971878"/>
    <n v="0"/>
    <n v="0"/>
    <n v="5041.0797007971878"/>
    <n v="34.52794315614512"/>
  </r>
  <r>
    <s v="055640"/>
    <s v="St Vivian"/>
    <s v="Hamilton"/>
    <x v="0"/>
    <n v="1"/>
    <x v="0"/>
    <n v="238"/>
    <n v="7021"/>
    <n v="263.6574"/>
    <n v="1.1078042016806722"/>
    <n v="1355.1029941171169"/>
    <n v="8376.1029941171164"/>
    <n v="0"/>
    <n v="0"/>
    <n v="8376.1029941171164"/>
    <n v="35.193710059315613"/>
  </r>
  <r>
    <s v="055657"/>
    <s v="St William"/>
    <s v="Hamilton"/>
    <x v="0"/>
    <n v="1"/>
    <x v="0"/>
    <n v="238"/>
    <n v="7021"/>
    <n v="317.37080000000003"/>
    <n v="1.3334907563025211"/>
    <n v="4191.9917343717962"/>
    <n v="11212.991734371797"/>
    <n v="0"/>
    <n v="0"/>
    <n v="11212.991734371797"/>
    <n v="47.113410648620999"/>
  </r>
  <r>
    <s v="053876"/>
    <s v="St Xavier"/>
    <s v="Hamilton"/>
    <x v="0"/>
    <n v="1"/>
    <x v="0"/>
    <n v="1403"/>
    <n v="41388.5"/>
    <n v="1419.9602"/>
    <n v="1.0120885245901639"/>
    <n v="895.75786326070101"/>
    <n v="42284.257863260704"/>
    <n v="0"/>
    <n v="0"/>
    <n v="42284.257863260704"/>
    <n v="30.138458918931363"/>
  </r>
  <r>
    <s v="009453"/>
    <s v="Sts. Peter and Paul Academy"/>
    <s v="Hamilton"/>
    <x v="0"/>
    <n v="1"/>
    <x v="0"/>
    <n v="151"/>
    <n v="4454.5"/>
    <n v="166.1114"/>
    <n v="1.1000754966887418"/>
    <n v="798.11295709235571"/>
    <n v="5252.6129570923558"/>
    <n v="0"/>
    <n v="0"/>
    <n v="5252.6129570923558"/>
    <n v="34.785516272134807"/>
  </r>
  <r>
    <s v="000306"/>
    <s v="Summit Academy Community School - Cincinnati"/>
    <s v="Hamilton"/>
    <x v="4"/>
    <n v="1"/>
    <x v="8"/>
    <n v="110.884849"/>
    <n v="3271.1030455"/>
    <n v="332.56354846903201"/>
    <n v="2.9991793420671207"/>
    <n v="11708.02456143155"/>
    <n v="14979.12760693155"/>
    <n v="0"/>
    <n v="0"/>
    <n v="14979.12760693155"/>
    <n v="135.08723456828218"/>
  </r>
  <r>
    <s v="017433"/>
    <s v="Summit Academy of Southwest Ohio"/>
    <s v="Hamilton"/>
    <x v="0"/>
    <n v="1"/>
    <x v="0"/>
    <n v="10"/>
    <n v="295"/>
    <n v="10"/>
    <n v="1"/>
    <n v="0"/>
    <n v="295"/>
    <n v="0"/>
    <n v="0"/>
    <n v="295"/>
    <n v="29.5"/>
  </r>
  <r>
    <s v="000608"/>
    <s v="Summit Academy Transition High School-Cincinnati"/>
    <s v="Hamilton"/>
    <x v="4"/>
    <n v="1"/>
    <x v="8"/>
    <n v="81.043854999999994"/>
    <n v="2390.7937224999996"/>
    <n v="205.48044581725799"/>
    <n v="2.5354228993334287"/>
    <n v="6572.1544971116664"/>
    <n v="8962.948219611666"/>
    <n v="0"/>
    <n v="0"/>
    <n v="8962.948219611666"/>
    <n v="110.59380405351727"/>
  </r>
  <r>
    <s v="053900"/>
    <s v="Summit Country Day"/>
    <s v="Hamilton"/>
    <x v="0"/>
    <n v="1"/>
    <x v="0"/>
    <n v="773"/>
    <n v="22803.5"/>
    <n v="787.74800000000005"/>
    <n v="1.0190789133247089"/>
    <n v="778.91988109626493"/>
    <n v="23582.419881096266"/>
    <n v="0"/>
    <n v="0"/>
    <n v="23582.419881096266"/>
    <n v="30.50765831965882"/>
  </r>
  <r>
    <s v="044867"/>
    <s v="Sycamore Community City"/>
    <s v="Hamilton"/>
    <x v="1"/>
    <n v="1"/>
    <x v="11"/>
    <n v="5398.5068060000003"/>
    <n v="159255.95077700002"/>
    <n v="6440.8124735687597"/>
    <n v="1.1930729561015505"/>
    <n v="55049.674982954879"/>
    <n v="214305.62575995491"/>
    <n v="3700720.2859409596"/>
    <n v="74178.353851705193"/>
    <n v="288483.97961166012"/>
    <n v="53.437735651464529"/>
  </r>
  <r>
    <s v="133330"/>
    <s v="T.C.P. World Academy"/>
    <s v="Hamilton"/>
    <x v="4"/>
    <n v="1"/>
    <x v="8"/>
    <n v="509.929822"/>
    <n v="15042.929749000001"/>
    <n v="622.57194551817702"/>
    <n v="1.2208973051946292"/>
    <n v="5949.2262989699584"/>
    <n v="20992.156047969958"/>
    <n v="0"/>
    <n v="0"/>
    <n v="20992.156047969958"/>
    <n v="41.166754997063023"/>
  </r>
  <r>
    <s v="122481"/>
    <s v="Terry's Montessori School"/>
    <s v="Hamilton"/>
    <x v="0"/>
    <n v="1"/>
    <x v="0"/>
    <n v="16"/>
    <n v="472"/>
    <n v="16"/>
    <n v="1"/>
    <n v="0"/>
    <n v="472"/>
    <n v="0"/>
    <n v="0"/>
    <n v="472"/>
    <n v="29.5"/>
  </r>
  <r>
    <s v="064931"/>
    <s v="The Childrens Home of Cincinnati"/>
    <s v="Hamilton"/>
    <x v="0"/>
    <n v="1"/>
    <x v="0"/>
    <n v="197"/>
    <n v="5811.5"/>
    <n v="207.4"/>
    <n v="1.0527918781725889"/>
    <n v="549.27900484141128"/>
    <n v="6360.7790048414117"/>
    <n v="0"/>
    <n v="0"/>
    <n v="6360.7790048414117"/>
    <n v="32.288218298687369"/>
  </r>
  <r>
    <s v="138073"/>
    <s v="The Good Shepherd Catholic Montessori"/>
    <s v="Hamilton"/>
    <x v="0"/>
    <n v="1"/>
    <x v="0"/>
    <n v="159"/>
    <n v="4690.5"/>
    <n v="171.55799999999999"/>
    <n v="1.0789811320754716"/>
    <n v="663.25439834600331"/>
    <n v="5353.7543983460037"/>
    <n v="0"/>
    <n v="0"/>
    <n v="5353.7543983460037"/>
    <n v="33.671411310352227"/>
  </r>
  <r>
    <s v="070912"/>
    <s v="The New School"/>
    <s v="Hamilton"/>
    <x v="0"/>
    <n v="1"/>
    <x v="0"/>
    <n v="94"/>
    <n v="2773"/>
    <n v="94"/>
    <n v="1"/>
    <n v="0"/>
    <n v="2773"/>
    <n v="0"/>
    <n v="0"/>
    <n v="2773"/>
    <n v="29.5"/>
  </r>
  <r>
    <s v="047399"/>
    <s v="Three Rivers Local "/>
    <s v="Hamilton"/>
    <x v="1"/>
    <n v="1"/>
    <x v="10"/>
    <n v="2117.1178450000002"/>
    <n v="62454.976427500005"/>
    <n v="2569.8742410391201"/>
    <n v="1.213855075242219"/>
    <n v="23912.459870379953"/>
    <n v="86367.436297879962"/>
    <n v="1395546.1298713989"/>
    <n v="27972.747638141784"/>
    <n v="114340.18393602174"/>
    <n v="54.007472567509218"/>
  </r>
  <r>
    <s v="019211"/>
    <s v="Universal Muslim Academy"/>
    <s v="Hamilton"/>
    <x v="0"/>
    <n v="1"/>
    <x v="0"/>
    <n v="28"/>
    <n v="826"/>
    <n v="28"/>
    <n v="1"/>
    <n v="0"/>
    <n v="826"/>
    <n v="0"/>
    <n v="0"/>
    <n v="826"/>
    <n v="29.5"/>
  </r>
  <r>
    <s v="017599"/>
    <s v="Urban Male Tech Academy"/>
    <s v="Hamilton"/>
    <x v="4"/>
    <n v="1"/>
    <x v="8"/>
    <n v="19.37"/>
    <n v="571.41500000000008"/>
    <n v="20.487024000000002"/>
    <n v="1.0576677336086733"/>
    <n v="58.995945298458913"/>
    <n v="630.41094529845896"/>
    <n v="0"/>
    <n v="0"/>
    <n v="630.41094529845896"/>
    <n v="32.545738012310736"/>
  </r>
  <r>
    <s v="053942"/>
    <s v="Ursuline Academy"/>
    <s v="Hamilton"/>
    <x v="0"/>
    <n v="1"/>
    <x v="0"/>
    <n v="572"/>
    <n v="16874"/>
    <n v="572.73739999999998"/>
    <n v="1.0012891608391608"/>
    <n v="38.945994054812047"/>
    <n v="16912.945994054811"/>
    <n v="0"/>
    <n v="0"/>
    <n v="16912.945994054811"/>
    <n v="29.568087402193726"/>
  </r>
  <r>
    <s v="044081"/>
    <s v="Winton Woods City"/>
    <s v="Hamilton"/>
    <x v="1"/>
    <n v="1"/>
    <x v="9"/>
    <n v="3746.887471"/>
    <n v="110533.1803945"/>
    <n v="5001.7964267031703"/>
    <n v="1.3349203746885545"/>
    <n v="66278.379072616503"/>
    <n v="176811.55946711649"/>
    <n v="2407258.7374276808"/>
    <n v="48251.820359375415"/>
    <n v="225063.3798264919"/>
    <n v="60.066757160023585"/>
  </r>
  <r>
    <s v="045146"/>
    <s v="Wyoming City"/>
    <s v="Hamilton"/>
    <x v="1"/>
    <n v="1"/>
    <x v="11"/>
    <n v="1970.731761"/>
    <n v="58136.586949500001"/>
    <n v="2188.9260472767801"/>
    <n v="1.1107173947235025"/>
    <n v="11523.99427194151"/>
    <n v="69660.581221441505"/>
    <n v="278668.64246384287"/>
    <n v="5585.7183388290914"/>
    <n v="75246.299560270592"/>
    <n v="38.181908390256361"/>
  </r>
  <r>
    <s v="095364"/>
    <s v="Xavier University Montessori"/>
    <s v="Hamilton"/>
    <x v="0"/>
    <n v="1"/>
    <x v="0"/>
    <n v="101"/>
    <n v="2979.5"/>
    <n v="105.42440000000001"/>
    <n v="1.0438059405940594"/>
    <n v="233.67596432887905"/>
    <n v="3213.1759643288792"/>
    <n v="0"/>
    <n v="0"/>
    <n v="3213.1759643288792"/>
    <n v="31.813623409196826"/>
  </r>
  <r>
    <s v="047415"/>
    <s v="Arcadia Local"/>
    <s v="Hancock"/>
    <x v="1"/>
    <n v="1"/>
    <x v="1"/>
    <n v="560.354421"/>
    <n v="16530.455419500002"/>
    <n v="618.96341568188905"/>
    <n v="1.1045927229007961"/>
    <n v="3095.4509878484196"/>
    <n v="19625.906407348422"/>
    <n v="421341.61537981062"/>
    <n v="8445.4984498094254"/>
    <n v="28071.404857157846"/>
    <n v="50.095803307952927"/>
  </r>
  <r>
    <s v="047423"/>
    <s v="Arlington Local"/>
    <s v="Hancock"/>
    <x v="1"/>
    <n v="1"/>
    <x v="3"/>
    <n v="552.27670000000001"/>
    <n v="16292.16265"/>
    <n v="632.17401533876898"/>
    <n v="1.1446689953401419"/>
    <n v="4219.7997941134063"/>
    <n v="20511.962444113407"/>
    <n v="263790.33856016211"/>
    <n v="5287.4931268688142"/>
    <n v="25799.455570982223"/>
    <n v="46.714727546865952"/>
  </r>
  <r>
    <s v="047431"/>
    <s v="Cory-Rawson Local"/>
    <s v="Hancock"/>
    <x v="1"/>
    <n v="1"/>
    <x v="7"/>
    <n v="517.001575"/>
    <n v="15251.5464625"/>
    <n v="625.613607164771"/>
    <n v="1.2100806601310083"/>
    <n v="5736.3758597373781"/>
    <n v="20987.922322237377"/>
    <n v="640932.49878673523"/>
    <n v="12847.044363411409"/>
    <n v="33834.966685648789"/>
    <n v="65.444610464965777"/>
  </r>
  <r>
    <s v="043984"/>
    <s v="Findlay City"/>
    <s v="Hancock"/>
    <x v="1"/>
    <n v="1"/>
    <x v="9"/>
    <n v="5469.1083360000002"/>
    <n v="161338.695912"/>
    <n v="6914.0913257112998"/>
    <n v="1.264208148922523"/>
    <n v="76317.194096287436"/>
    <n v="237655.89000828745"/>
    <n v="1593808.3590910805"/>
    <n v="31946.775572745879"/>
    <n v="269602.66558103333"/>
    <n v="49.295543079004993"/>
  </r>
  <r>
    <s v="000402"/>
    <s v="Findlay Digital Academy"/>
    <s v="Hancock"/>
    <x v="4"/>
    <n v="1"/>
    <x v="5"/>
    <n v="127.4224"/>
    <n v="751.79215999999997"/>
    <n v="158.73874106417199"/>
    <n v="1.2457679424039414"/>
    <n v="0"/>
    <n v="751.79215999999997"/>
    <n v="0"/>
    <n v="0"/>
    <n v="751.79215999999997"/>
    <n v="5.9"/>
  </r>
  <r>
    <n v="66019"/>
    <s v="Hancock County Board of DD"/>
    <s v="Hancock"/>
    <x v="2"/>
    <n v="1"/>
    <x v="2"/>
    <n v="14.96"/>
    <n v="441.32000000000005"/>
    <n v="67.237616000000003"/>
    <n v="4.4944930481283425"/>
    <n v="2761.0573934578292"/>
    <n v="3202.3773934578294"/>
    <n v="0"/>
    <n v="0"/>
    <n v="3202.3773934578294"/>
    <n v="214.0626599904966"/>
  </r>
  <r>
    <s v="047449"/>
    <s v="Liberty-Benton Local"/>
    <s v="Hancock"/>
    <x v="1"/>
    <n v="1"/>
    <x v="7"/>
    <n v="1438.853474"/>
    <n v="42446.177482999999"/>
    <n v="1608.33801294259"/>
    <n v="1.1177913818225176"/>
    <n v="8951.3748929222311"/>
    <n v="51397.552375922227"/>
    <n v="792704.81314915314"/>
    <n v="15889.214419450947"/>
    <n v="67286.766795373172"/>
    <n v="46.764154940889533"/>
  </r>
  <r>
    <s v="047456"/>
    <s v="McComb Local"/>
    <s v="Hancock"/>
    <x v="1"/>
    <n v="1"/>
    <x v="3"/>
    <n v="668.08470799999998"/>
    <n v="19708.498885999998"/>
    <n v="790.14108819687704"/>
    <n v="1.1826959646513524"/>
    <n v="6446.4429854889941"/>
    <n v="26154.941871488991"/>
    <n v="594835.4350034236"/>
    <n v="11923.060910289203"/>
    <n v="38078.002781778196"/>
    <n v="56.995770634789316"/>
  </r>
  <r>
    <s v="047514"/>
    <s v="Riverdale Local"/>
    <s v="Hancock"/>
    <x v="1"/>
    <n v="1"/>
    <x v="3"/>
    <n v="1006.963496"/>
    <n v="29705.423132"/>
    <n v="1175.7251734015299"/>
    <n v="1.1675946328460847"/>
    <n v="8913.1967517768844"/>
    <n v="38618.619883776882"/>
    <n v="822765.11742963246"/>
    <n v="16491.752227098401"/>
    <n v="55110.37211087528"/>
    <n v="54.72926509232196"/>
  </r>
  <r>
    <s v="059303"/>
    <s v="St Michael the Archangel School"/>
    <s v="Hancock"/>
    <x v="0"/>
    <n v="1"/>
    <x v="0"/>
    <n v="387"/>
    <n v="11416.5"/>
    <n v="402.97319999999996"/>
    <n v="1.041274418604651"/>
    <n v="843.62917308969293"/>
    <n v="12260.129173089694"/>
    <n v="0"/>
    <n v="0"/>
    <n v="12260.129173089694"/>
    <n v="31.679920343901017"/>
  </r>
  <r>
    <s v="012975"/>
    <s v="The Center for Autism and Dyslexia Findlay"/>
    <s v="Hancock"/>
    <x v="0"/>
    <n v="1"/>
    <x v="0"/>
    <n v="55"/>
    <n v="1622.5"/>
    <n v="55"/>
    <n v="1"/>
    <n v="0"/>
    <n v="1622.5"/>
    <n v="0"/>
    <n v="0"/>
    <n v="1622.5"/>
    <n v="29.5"/>
  </r>
  <r>
    <s v="060889"/>
    <s v="Trinity Ev Lutheran"/>
    <s v="Hancock"/>
    <x v="0"/>
    <n v="1"/>
    <x v="0"/>
    <n v="38"/>
    <n v="1121"/>
    <n v="38"/>
    <n v="1"/>
    <n v="0"/>
    <n v="1121"/>
    <n v="0"/>
    <n v="0"/>
    <n v="1121"/>
    <n v="29.5"/>
  </r>
  <r>
    <s v="047464"/>
    <s v="Van Buren Local"/>
    <s v="Hancock"/>
    <x v="1"/>
    <n v="1"/>
    <x v="7"/>
    <n v="1059.1484809999999"/>
    <n v="31244.8801895"/>
    <n v="1219.91699666357"/>
    <n v="1.1517903471964381"/>
    <n v="8491.035605145822"/>
    <n v="39735.915794645822"/>
    <n v="743969.3326446272"/>
    <n v="14912.345745606171"/>
    <n v="54648.261540251995"/>
    <n v="51.596412137281817"/>
  </r>
  <r>
    <s v="047472"/>
    <s v="Vanlue Local"/>
    <s v="Hancock"/>
    <x v="1"/>
    <n v="1"/>
    <x v="3"/>
    <n v="176.06224700000001"/>
    <n v="5193.8362865000008"/>
    <n v="199.79100163175301"/>
    <n v="1.1347748028670392"/>
    <n v="1253.2410317553176"/>
    <n v="6447.0773182553185"/>
    <n v="334127.92844460532"/>
    <n v="6697.3609980899218"/>
    <n v="13144.43831634524"/>
    <n v="74.657903896598796"/>
  </r>
  <r>
    <s v="045187"/>
    <s v="Ada Exempted Village"/>
    <s v="Hardin"/>
    <x v="1"/>
    <n v="1"/>
    <x v="7"/>
    <n v="838.26067499999999"/>
    <n v="24728.689912499998"/>
    <n v="977.711413270972"/>
    <n v="1.1663572471307593"/>
    <n v="7365.131032873036"/>
    <n v="32093.820945373034"/>
    <n v="387014.10958954785"/>
    <n v="7757.4275677624382"/>
    <n v="39851.24851313547"/>
    <n v="47.540400858164404"/>
  </r>
  <r>
    <s v="011324"/>
    <s v="Hardin Community School"/>
    <s v="Hardin"/>
    <x v="4"/>
    <n v="1"/>
    <x v="8"/>
    <n v="33.499751000000003"/>
    <n v="988.24265450000007"/>
    <n v="49.419914032270697"/>
    <n v="1.4752322795554718"/>
    <n v="840.82801031525639"/>
    <n v="1829.0706648152564"/>
    <n v="0"/>
    <n v="0"/>
    <n v="1829.0706648152564"/>
    <n v="54.599530152186986"/>
  </r>
  <r>
    <n v="66027"/>
    <s v="Hardin County Board of DD"/>
    <s v="Hardin"/>
    <x v="2"/>
    <n v="1"/>
    <x v="2"/>
    <n v="13.24"/>
    <n v="390.58"/>
    <n v="55.535342"/>
    <n v="4.1945122356495466"/>
    <n v="2233.8407079987628"/>
    <n v="2624.4207079987627"/>
    <n v="0"/>
    <n v="0"/>
    <n v="2624.4207079987627"/>
    <n v="198.21908670685519"/>
  </r>
  <r>
    <s v="047498"/>
    <s v="Hardin Northern Local"/>
    <s v="Hardin"/>
    <x v="1"/>
    <n v="1"/>
    <x v="3"/>
    <n v="393.97393499999998"/>
    <n v="11622.231082499999"/>
    <n v="450.087430939542"/>
    <n v="1.1424294628515006"/>
    <n v="2963.6505007542496"/>
    <n v="14585.881583254248"/>
    <n v="371882.39376174309"/>
    <n v="7454.1228907452314"/>
    <n v="22040.004473999477"/>
    <n v="55.942798535642922"/>
  </r>
  <r>
    <s v="044172"/>
    <s v="Kenton City"/>
    <s v="Hardin"/>
    <x v="1"/>
    <n v="1"/>
    <x v="1"/>
    <n v="1800.7305839999999"/>
    <n v="53121.552228"/>
    <n v="2377.2614112739702"/>
    <n v="1.3201649554889607"/>
    <n v="30449.642217830944"/>
    <n v="83571.194445830944"/>
    <n v="971540.40701694204"/>
    <n v="19473.849014397561"/>
    <n v="103045.04346022851"/>
    <n v="57.224020281441788"/>
  </r>
  <r>
    <s v="047506"/>
    <s v="Ridgemont Local"/>
    <s v="Hardin"/>
    <x v="1"/>
    <n v="1"/>
    <x v="3"/>
    <n v="511.20051899999999"/>
    <n v="15080.4153105"/>
    <n v="601.80839901193701"/>
    <n v="1.1772452817324643"/>
    <n v="4785.4813618987255"/>
    <n v="19865.896672398725"/>
    <n v="620506.76472643134"/>
    <n v="12437.624787832541"/>
    <n v="32303.521460231266"/>
    <n v="63.191487996574722"/>
  </r>
  <r>
    <s v="047522"/>
    <s v="Upper Scioto Valley Local"/>
    <s v="Hardin"/>
    <x v="1"/>
    <n v="1"/>
    <x v="3"/>
    <n v="410.05331899999999"/>
    <n v="12096.572910499999"/>
    <n v="519.08483694947904"/>
    <n v="1.2658959527882252"/>
    <n v="5758.5311226575286"/>
    <n v="17855.104033157528"/>
    <n v="538859.54679495632"/>
    <n v="10801.063320126719"/>
    <n v="28656.167353284247"/>
    <n v="69.884002946661298"/>
  </r>
  <r>
    <s v="047548"/>
    <s v="Conotton Valley Union Local"/>
    <s v="Harrison"/>
    <x v="1"/>
    <n v="1"/>
    <x v="1"/>
    <n v="402.26319100000001"/>
    <n v="11866.764134500001"/>
    <n v="473.73259882348998"/>
    <n v="1.1776682764481177"/>
    <n v="3774.6774236434162"/>
    <n v="15641.441558143417"/>
    <n v="477435.56779963995"/>
    <n v="9569.8625546422845"/>
    <n v="25211.3041127857"/>
    <n v="62.673654156901719"/>
  </r>
  <r>
    <s v="045245"/>
    <s v="Harrison Hills City"/>
    <s v="Harrison"/>
    <x v="1"/>
    <n v="1"/>
    <x v="1"/>
    <n v="1476.2130110000001"/>
    <n v="43548.283824500002"/>
    <n v="1813.2385418510501"/>
    <n v="1.228304132492875"/>
    <n v="17800.100787693558"/>
    <n v="61348.384612193564"/>
    <n v="2610640.2323247506"/>
    <n v="52328.46039960684"/>
    <n v="113676.84501180041"/>
    <n v="77.005719475941135"/>
  </r>
  <r>
    <s v="011511"/>
    <s v="Lakeland Academy Community School"/>
    <s v="Harrison"/>
    <x v="4"/>
    <n v="1"/>
    <x v="8"/>
    <n v="66.059348999999997"/>
    <n v="1948.7507954999999"/>
    <n v="87.820413746701803"/>
    <n v="1.3294168815787422"/>
    <n v="1149.3169219574884"/>
    <n v="3098.0677174574885"/>
    <n v="0"/>
    <n v="0"/>
    <n v="3098.0677174574885"/>
    <n v="46.898247778031973"/>
  </r>
  <r>
    <s v="050963"/>
    <s v="Four County Career Center"/>
    <s v="Henry"/>
    <x v="3"/>
    <n v="1"/>
    <x v="4"/>
    <n v="939.60649599999999"/>
    <n v="27718.391631999999"/>
    <n v="1291.8505493462301"/>
    <n v="1.3748846510169617"/>
    <n v="18603.871450319439"/>
    <n v="46322.263082319434"/>
    <n v="0"/>
    <n v="0"/>
    <n v="46322.263082319434"/>
    <n v="49.299641157780407"/>
  </r>
  <r>
    <s v="047571"/>
    <s v="Holgate Local"/>
    <s v="Henry"/>
    <x v="1"/>
    <n v="1"/>
    <x v="3"/>
    <n v="426.98170699999997"/>
    <n v="12595.9603565"/>
    <n v="510.67412245098899"/>
    <n v="1.1960093701414449"/>
    <n v="4420.2391030474209"/>
    <n v="17016.199459547421"/>
    <n v="356694.01704799634"/>
    <n v="7149.682485836639"/>
    <n v="24165.881945384059"/>
    <n v="56.596995958386714"/>
  </r>
  <r>
    <s v="047589"/>
    <s v="Liberty Center Local"/>
    <s v="Henry"/>
    <x v="1"/>
    <n v="1"/>
    <x v="3"/>
    <n v="1019.562175"/>
    <n v="30077.084162499999"/>
    <n v="1254.62167039887"/>
    <n v="1.2305494467749061"/>
    <n v="12414.735164539956"/>
    <n v="42491.819327039957"/>
    <n v="613163.25143993867"/>
    <n v="12290.429192113084"/>
    <n v="54782.248519153043"/>
    <n v="53.731150352996416"/>
  </r>
  <r>
    <s v="044438"/>
    <s v="Napoleon Area City"/>
    <s v="Henry"/>
    <x v="1"/>
    <n v="1"/>
    <x v="6"/>
    <n v="1920.3915919999999"/>
    <n v="56651.551963999998"/>
    <n v="2321.87023845161"/>
    <n v="1.2090608228676363"/>
    <n v="21204.210710386255"/>
    <n v="77855.762674386249"/>
    <n v="1160686.0081658284"/>
    <n v="23265.140505629013"/>
    <n v="101120.90318001526"/>
    <n v="52.656397581236263"/>
  </r>
  <r>
    <s v="047597"/>
    <s v="Patrick Henry Local"/>
    <s v="Henry"/>
    <x v="1"/>
    <n v="1"/>
    <x v="3"/>
    <n v="826.33294799999999"/>
    <n v="24376.821966"/>
    <n v="953.73548784821605"/>
    <n v="1.1541782161253191"/>
    <n v="6728.801952124646"/>
    <n v="31105.623918124646"/>
    <n v="999549.93824522418"/>
    <n v="20035.280508305677"/>
    <n v="51140.904426430323"/>
    <n v="61.888981372712159"/>
  </r>
  <r>
    <s v="058834"/>
    <s v="St Augustine"/>
    <s v="Henry"/>
    <x v="0"/>
    <n v="1"/>
    <x v="0"/>
    <n v="42"/>
    <n v="1239"/>
    <n v="46.049599999999998"/>
    <n v="1.0964190476190476"/>
    <n v="213.88079403901702"/>
    <n v="1452.880794039017"/>
    <n v="0"/>
    <n v="0"/>
    <n v="1452.880794039017"/>
    <n v="34.592399858071836"/>
  </r>
  <r>
    <s v="060434"/>
    <s v="St John Lutheran"/>
    <s v="Henry"/>
    <x v="0"/>
    <n v="1"/>
    <x v="0"/>
    <n v="35"/>
    <n v="1032.5"/>
    <n v="36.574800000000003"/>
    <n v="1.0449942857142858"/>
    <n v="83.173517002332289"/>
    <n v="1115.6735170023323"/>
    <n v="0"/>
    <n v="0"/>
    <n v="1115.6735170023323"/>
    <n v="31.876386200066637"/>
  </r>
  <r>
    <s v="060491"/>
    <s v="St Paul Lutheran"/>
    <s v="Henry"/>
    <x v="0"/>
    <n v="1"/>
    <x v="0"/>
    <n v="157"/>
    <n v="4631.5"/>
    <n v="166.374"/>
    <n v="1.0597070063694267"/>
    <n v="495.09051840224845"/>
    <n v="5126.5905184022486"/>
    <n v="0"/>
    <n v="0"/>
    <n v="5126.5905184022486"/>
    <n v="32.65344279237101"/>
  </r>
  <r>
    <s v="047613"/>
    <s v="Bright Local"/>
    <s v="Highland"/>
    <x v="1"/>
    <n v="1"/>
    <x v="3"/>
    <n v="713.91481199999998"/>
    <n v="21060.486954"/>
    <n v="894.59931096855303"/>
    <n v="1.2530897187332108"/>
    <n v="9542.9040176649778"/>
    <n v="30603.39097166498"/>
    <n v="1575149.6800780022"/>
    <n v="31572.775381622116"/>
    <n v="62176.166353287095"/>
    <n v="87.091856490697239"/>
  </r>
  <r>
    <s v="047621"/>
    <s v="Fairfield Local"/>
    <s v="Highland"/>
    <x v="1"/>
    <n v="1"/>
    <x v="1"/>
    <n v="901.30064400000003"/>
    <n v="26588.368998000002"/>
    <n v="1057.2575183382401"/>
    <n v="1.1730353521618475"/>
    <n v="8236.9073783351414"/>
    <n v="34825.27637633514"/>
    <n v="721948.90693405957"/>
    <n v="14470.961689499823"/>
    <n v="49296.238065834965"/>
    <n v="54.694555467148831"/>
  </r>
  <r>
    <s v="045401"/>
    <s v="Greenfield Exempted Village"/>
    <s v="Highland"/>
    <x v="1"/>
    <n v="1"/>
    <x v="1"/>
    <n v="1910.0241980000001"/>
    <n v="56345.713841000004"/>
    <n v="2338.3582650507201"/>
    <n v="1.2242558327267432"/>
    <n v="22622.587508585933"/>
    <n v="78968.301349585934"/>
    <n v="1772841.6481900562"/>
    <n v="35535.372830547472"/>
    <n v="114503.67418013341"/>
    <n v="59.948808135536204"/>
  </r>
  <r>
    <s v="011492"/>
    <s v="Hillsboro Christian Academy"/>
    <s v="Highland"/>
    <x v="0"/>
    <n v="1"/>
    <x v="0"/>
    <n v="178"/>
    <n v="5251"/>
    <n v="200.85939999999999"/>
    <n v="1.1284235955056179"/>
    <n v="1207.3258156992065"/>
    <n v="6458.3258156992069"/>
    <n v="0"/>
    <n v="0"/>
    <n v="6458.3258156992069"/>
    <n v="36.282729301680938"/>
  </r>
  <r>
    <s v="044123"/>
    <s v="Hillsboro City"/>
    <s v="Highland"/>
    <x v="1"/>
    <n v="1"/>
    <x v="6"/>
    <n v="2311.6536169999999"/>
    <n v="68193.781701500004"/>
    <n v="2915.74407049922"/>
    <n v="1.2613239496855035"/>
    <n v="31905.211839639254"/>
    <n v="100098.99354113927"/>
    <n v="2217057.277934487"/>
    <n v="44439.364924957314"/>
    <n v="144538.35846609657"/>
    <n v="62.52595864845636"/>
  </r>
  <r>
    <s v="047639"/>
    <s v="Lynchburg-Clay Local"/>
    <s v="Highland"/>
    <x v="1"/>
    <n v="1"/>
    <x v="3"/>
    <n v="1116.7183050000001"/>
    <n v="32943.189997500005"/>
    <n v="1392.28437768105"/>
    <n v="1.246764176289785"/>
    <n v="14554.101747144525"/>
    <n v="47497.291744644528"/>
    <n v="1860092.6897037353"/>
    <n v="37284.259028707107"/>
    <n v="84781.550773351628"/>
    <n v="75.920266009565964"/>
  </r>
  <r>
    <s v="133132"/>
    <s v="St Mary Catholic"/>
    <s v="Highland"/>
    <x v="0"/>
    <n v="1"/>
    <x v="0"/>
    <n v="33"/>
    <n v="973.5"/>
    <n v="35.674800000000005"/>
    <n v="1.0810545454545455"/>
    <n v="141.270334822097"/>
    <n v="1114.7703348220971"/>
    <n v="0"/>
    <n v="0"/>
    <n v="1114.7703348220971"/>
    <n v="33.780919237033245"/>
  </r>
  <r>
    <s v="134304"/>
    <s v="Logan Christian School"/>
    <s v="Hocking"/>
    <x v="0"/>
    <n v="1"/>
    <x v="0"/>
    <n v="69"/>
    <n v="2035.5"/>
    <n v="71.949600000000004"/>
    <n v="1.0427478260869565"/>
    <n v="155.78397621925271"/>
    <n v="2191.2839762192525"/>
    <n v="0"/>
    <n v="0"/>
    <n v="2191.2839762192525"/>
    <n v="31.75773878578627"/>
  </r>
  <r>
    <s v="044248"/>
    <s v="Logan-Hocking Local"/>
    <s v="Hocking"/>
    <x v="1"/>
    <n v="1"/>
    <x v="1"/>
    <n v="3758.165352"/>
    <n v="110865.877884"/>
    <n v="5598.1748342985402"/>
    <n v="1.4896031201286377"/>
    <n v="97180.632436125205"/>
    <n v="208046.51032012521"/>
    <n v="4502954.6951667294"/>
    <n v="90258.582369822456"/>
    <n v="298305.09268994769"/>
    <n v="79.375191017392922"/>
  </r>
  <r>
    <s v="057919"/>
    <s v="St John"/>
    <s v="Hocking"/>
    <x v="0"/>
    <n v="1"/>
    <x v="0"/>
    <n v="62"/>
    <n v="1829"/>
    <n v="65.074799999999996"/>
    <n v="1.0495935483870966"/>
    <n v="162.39645039292006"/>
    <n v="1991.3964503929201"/>
    <n v="0"/>
    <n v="0"/>
    <n v="1991.3964503929201"/>
    <n v="32.119297586982583"/>
  </r>
  <r>
    <s v="047688"/>
    <s v="East Holmes Local "/>
    <s v="Holmes"/>
    <x v="1"/>
    <n v="1"/>
    <x v="1"/>
    <n v="1586.4534880000001"/>
    <n v="46800.377896000005"/>
    <n v="1852.1034712549499"/>
    <n v="1.1674489578574709"/>
    <n v="14030.380619078494"/>
    <n v="60830.758515078502"/>
    <n v="1915439.0711829611"/>
    <n v="38393.638596077886"/>
    <n v="99224.397111156388"/>
    <n v="62.54478802038247"/>
  </r>
  <r>
    <n v="66043"/>
    <s v="Holmes County Board of DD"/>
    <s v="Holmes"/>
    <x v="2"/>
    <n v="1"/>
    <x v="2"/>
    <n v="36.31"/>
    <n v="1071.145"/>
    <n v="156.299182"/>
    <n v="4.3045767557146792"/>
    <n v="6337.2633154514369"/>
    <n v="7408.4083154514374"/>
    <n v="0"/>
    <n v="0"/>
    <n v="7408.4083154514374"/>
    <n v="204.03217613471321"/>
  </r>
  <r>
    <s v="047696"/>
    <s v="West Holmes Local"/>
    <s v="Holmes"/>
    <x v="1"/>
    <n v="1"/>
    <x v="1"/>
    <n v="2082.9049829999999"/>
    <n v="61445.696998499996"/>
    <n v="2463.4614253048499"/>
    <n v="1.182704657874857"/>
    <n v="20099.198453384211"/>
    <n v="81544.895451884207"/>
    <n v="2687379.1902417475"/>
    <n v="53866.639222849291"/>
    <n v="135411.5346747335"/>
    <n v="65.010903416103403"/>
  </r>
  <r>
    <s v="043596"/>
    <s v="Bellevue City"/>
    <s v="Huron"/>
    <x v="1"/>
    <n v="1"/>
    <x v="1"/>
    <n v="1907.6104809999999"/>
    <n v="56274.509189500001"/>
    <n v="2296.18126670526"/>
    <n v="1.203695036054512"/>
    <n v="20522.478315637538"/>
    <n v="76796.987505137542"/>
    <n v="1367901.8551779094"/>
    <n v="27418.637456408334"/>
    <n v="104215.62496154588"/>
    <n v="54.631501556289614"/>
  </r>
  <r>
    <s v="060582"/>
    <s v="Celeryville Christian"/>
    <s v="Huron"/>
    <x v="0"/>
    <n v="1"/>
    <x v="0"/>
    <n v="126"/>
    <n v="3717"/>
    <n v="142.64880000000002"/>
    <n v="1.1321333333333334"/>
    <n v="879.31118228881678"/>
    <n v="4596.3111822888168"/>
    <n v="0"/>
    <n v="0"/>
    <n v="4596.3111822888168"/>
    <n v="36.478660176895374"/>
  </r>
  <r>
    <n v="71126"/>
    <s v="Huron County Board of DD"/>
    <s v="Huron"/>
    <x v="2"/>
    <n v="1"/>
    <x v="2"/>
    <n v="12.36"/>
    <n v="364.62"/>
    <n v="55.522379999999998"/>
    <n v="4.4921019417475732"/>
    <n v="2279.6335704795019"/>
    <n v="2644.2535704795018"/>
    <n v="0"/>
    <n v="0"/>
    <n v="2644.2535704795018"/>
    <n v="213.93637301614095"/>
  </r>
  <r>
    <s v="058552"/>
    <s v="Immaculate Conception"/>
    <s v="Huron"/>
    <x v="0"/>
    <n v="1"/>
    <x v="0"/>
    <n v="127"/>
    <n v="3746.5"/>
    <n v="136.17400000000001"/>
    <n v="1.0722362204724409"/>
    <n v="484.52746061683729"/>
    <n v="4231.0274606168368"/>
    <n v="0"/>
    <n v="0"/>
    <n v="4231.0274606168368"/>
    <n v="33.315176855250684"/>
  </r>
  <r>
    <s v="047712"/>
    <s v="Monroeville Local"/>
    <s v="Huron"/>
    <x v="1"/>
    <n v="1"/>
    <x v="1"/>
    <n v="584.98508800000002"/>
    <n v="17257.060096000001"/>
    <n v="691.60095387414697"/>
    <n v="1.1822539891378341"/>
    <n v="5630.9477603516143"/>
    <n v="22888.007856351614"/>
    <n v="398065.31728327682"/>
    <n v="7978.9413087248086"/>
    <n v="30866.949165076425"/>
    <n v="52.765360687410244"/>
  </r>
  <r>
    <s v="047720"/>
    <s v="New London Local"/>
    <s v="Huron"/>
    <x v="1"/>
    <n v="1"/>
    <x v="1"/>
    <n v="867.267515"/>
    <n v="25584.391692500001"/>
    <n v="1010.6598880158"/>
    <n v="1.16533811140822"/>
    <n v="7573.3096107660585"/>
    <n v="33157.701303266062"/>
    <n v="608534.53621262114"/>
    <n v="12197.649827697158"/>
    <n v="45355.351130963216"/>
    <n v="52.296840763098587"/>
  </r>
  <r>
    <s v="053769"/>
    <s v="Norwalk Catholic School"/>
    <s v="Huron"/>
    <x v="0"/>
    <n v="1"/>
    <x v="0"/>
    <n v="647"/>
    <n v="19086.5"/>
    <n v="685.30899999999997"/>
    <n v="1.059210200927357"/>
    <n v="2023.3009035066921"/>
    <n v="21109.800903506693"/>
    <n v="0"/>
    <n v="0"/>
    <n v="21109.800903506693"/>
    <n v="32.627203869407566"/>
  </r>
  <r>
    <s v="044560"/>
    <s v="Norwalk City"/>
    <s v="Huron"/>
    <x v="1"/>
    <n v="1"/>
    <x v="6"/>
    <n v="2673.849279"/>
    <n v="78878.553730500003"/>
    <n v="3339.03297509094"/>
    <n v="1.2487738188218724"/>
    <n v="35131.869098611831"/>
    <n v="114010.42282911183"/>
    <n v="1258965.4175661819"/>
    <n v="25235.082636768057"/>
    <n v="139245.50546587989"/>
    <n v="52.076796758700134"/>
  </r>
  <r>
    <s v="047738"/>
    <s v="South Central Local"/>
    <s v="Huron"/>
    <x v="1"/>
    <n v="1"/>
    <x v="1"/>
    <n v="742.39901299999997"/>
    <n v="21900.770883499998"/>
    <n v="892.26593851961798"/>
    <n v="1.2018684331408425"/>
    <n v="7915.2649719286192"/>
    <n v="29816.035855428618"/>
    <n v="559614.91258612531"/>
    <n v="11217.090133562971"/>
    <n v="41033.125988991589"/>
    <n v="55.270986720710511"/>
  </r>
  <r>
    <s v="058933"/>
    <s v="St Francis Xavier"/>
    <s v="Huron"/>
    <x v="0"/>
    <n v="1"/>
    <x v="0"/>
    <n v="108"/>
    <n v="3186"/>
    <n v="128.708"/>
    <n v="1.1917407407407408"/>
    <n v="1093.6990031015325"/>
    <n v="4279.6990031015321"/>
    <n v="0"/>
    <n v="0"/>
    <n v="4279.6990031015321"/>
    <n v="39.62684262131048"/>
  </r>
  <r>
    <s v="059097"/>
    <s v="St Joseph"/>
    <s v="Huron"/>
    <x v="0"/>
    <n v="1"/>
    <x v="0"/>
    <n v="75"/>
    <n v="2212.5"/>
    <n v="75.837399999999988"/>
    <n v="1.0111653333333332"/>
    <n v="44.227522947518374"/>
    <n v="2256.7275229475185"/>
    <n v="0"/>
    <n v="0"/>
    <n v="2256.7275229475185"/>
    <n v="30.089700305966915"/>
  </r>
  <r>
    <s v="047746"/>
    <s v="Western Reserve Local"/>
    <s v="Huron"/>
    <x v="1"/>
    <n v="1"/>
    <x v="1"/>
    <n v="992.21751600000005"/>
    <n v="29270.416722000002"/>
    <n v="1190.2529462689999"/>
    <n v="1.1995887263383083"/>
    <n v="10459.298467451626"/>
    <n v="39729.715189451628"/>
    <n v="1184745.526782559"/>
    <n v="23747.396755103906"/>
    <n v="63477.111944555538"/>
    <n v="63.974996329892988"/>
  </r>
  <r>
    <s v="045096"/>
    <s v="Willard City"/>
    <s v="Huron"/>
    <x v="1"/>
    <n v="1"/>
    <x v="6"/>
    <n v="1448.464688"/>
    <n v="42729.708295999997"/>
    <n v="1819.80745726429"/>
    <n v="1.2563699152217715"/>
    <n v="19612.575649667586"/>
    <n v="62342.283945667587"/>
    <n v="857815.31714288646"/>
    <n v="17194.309004161496"/>
    <n v="79536.592949829079"/>
    <n v="54.910964422371251"/>
  </r>
  <r>
    <s v="132928"/>
    <s v="Christian Life Academy"/>
    <s v="Jackson"/>
    <x v="0"/>
    <n v="1"/>
    <x v="0"/>
    <n v="114"/>
    <n v="3363"/>
    <n v="135.3732"/>
    <n v="1.1874842105263157"/>
    <n v="1128.8317332958118"/>
    <n v="4491.8317332958122"/>
    <n v="0"/>
    <n v="0"/>
    <n v="4491.8317332958122"/>
    <n v="39.402032748208882"/>
  </r>
  <r>
    <s v="044156"/>
    <s v="Jackson City"/>
    <s v="Jackson"/>
    <x v="1"/>
    <n v="1"/>
    <x v="7"/>
    <n v="2321.9972440000001"/>
    <n v="68498.918698000009"/>
    <n v="2873.7684895930902"/>
    <n v="1.2376278641238085"/>
    <n v="29141.95775764214"/>
    <n v="97640.876455642152"/>
    <n v="2407299.5372072058"/>
    <n v="48252.638162464762"/>
    <n v="145893.51461810691"/>
    <n v="62.831045555757299"/>
  </r>
  <r>
    <n v="66050"/>
    <s v="Jackson County Board of DD"/>
    <s v="Jackson"/>
    <x v="2"/>
    <n v="1"/>
    <x v="2"/>
    <n v="51.22"/>
    <n v="1510.99"/>
    <n v="259.66214200000002"/>
    <n v="5.0695459195626711"/>
    <n v="11008.931954305008"/>
    <n v="12519.921954305008"/>
    <n v="0"/>
    <n v="0"/>
    <n v="12519.921954305008"/>
    <n v="244.43424354363546"/>
  </r>
  <r>
    <s v="047761"/>
    <s v="Oak Hill Union Local"/>
    <s v="Jackson"/>
    <x v="1"/>
    <n v="1"/>
    <x v="3"/>
    <n v="1161.4225019999999"/>
    <n v="34261.963808999993"/>
    <n v="1474.4735877850301"/>
    <n v="1.2695410888336915"/>
    <n v="16533.883544665823"/>
    <n v="50795.847353665813"/>
    <n v="1639807.7004028375"/>
    <n v="32868.800247167143"/>
    <n v="83664.647600832948"/>
    <n v="72.036358393918007"/>
  </r>
  <r>
    <s v="058131"/>
    <s v="Sts Peter And Paul"/>
    <s v="Jackson"/>
    <x v="0"/>
    <n v="1"/>
    <x v="0"/>
    <n v="105"/>
    <n v="3097.5"/>
    <n v="121.0984"/>
    <n v="1.1533180952380953"/>
    <n v="850.24164726336255"/>
    <n v="3947.7416472633627"/>
    <n v="0"/>
    <n v="0"/>
    <n v="3947.7416472633627"/>
    <n v="37.597539497746311"/>
  </r>
  <r>
    <s v="045021"/>
    <s v="Wellston City "/>
    <s v="Jackson"/>
    <x v="1"/>
    <n v="1"/>
    <x v="1"/>
    <n v="1303.181902"/>
    <n v="38443.866109000002"/>
    <n v="1794.48333793898"/>
    <n v="1.3770014264201929"/>
    <n v="25948.227289396073"/>
    <n v="64392.093398396071"/>
    <n v="1179115.6975755496"/>
    <n v="23634.550760061069"/>
    <n v="88026.644158457144"/>
    <n v="67.547472861127218"/>
  </r>
  <r>
    <s v="058305"/>
    <s v="Bishop John King Mussio Central Elementary - Rosemont Campus"/>
    <s v="Jefferson"/>
    <x v="0"/>
    <n v="1"/>
    <x v="0"/>
    <n v="299"/>
    <n v="8820.5"/>
    <n v="325.78459999999995"/>
    <n v="1.0895806020066887"/>
    <n v="1414.6363877956953"/>
    <n v="10235.136387795696"/>
    <n v="0"/>
    <n v="0"/>
    <n v="10235.136387795696"/>
    <n v="34.231225377243128"/>
  </r>
  <r>
    <s v="010187"/>
    <s v="Bishop John King Mussio Central Junior High School"/>
    <s v="Jefferson"/>
    <x v="0"/>
    <n v="1"/>
    <x v="0"/>
    <n v="98"/>
    <n v="2891"/>
    <n v="101.84960000000001"/>
    <n v="1.0392816326530614"/>
    <n v="203.31773625360586"/>
    <n v="3094.3177362536057"/>
    <n v="0"/>
    <n v="0"/>
    <n v="3094.3177362536057"/>
    <n v="31.574670778098017"/>
  </r>
  <r>
    <s v="047787"/>
    <s v="Buckeye Local "/>
    <s v="Jefferson"/>
    <x v="1"/>
    <n v="1"/>
    <x v="1"/>
    <n v="1570.1579360000001"/>
    <n v="46319.659112000001"/>
    <n v="2003.8029583821601"/>
    <n v="1.2761792380496939"/>
    <n v="22903.087148894643"/>
    <n v="69222.746260894637"/>
    <n v="2171194.9176907465"/>
    <n v="43520.085940388082"/>
    <n v="112742.83220128273"/>
    <n v="71.803497989824336"/>
  </r>
  <r>
    <s v="052837"/>
    <s v="Catholic Central"/>
    <s v="Jefferson"/>
    <x v="0"/>
    <n v="1"/>
    <x v="0"/>
    <n v="212"/>
    <n v="6254"/>
    <n v="220.84880000000001"/>
    <n v="1.0417396226415094"/>
    <n v="467.35192865775809"/>
    <n v="6721.3519286577584"/>
    <n v="0"/>
    <n v="0"/>
    <n v="6721.3519286577584"/>
    <n v="31.704490229517727"/>
  </r>
  <r>
    <s v="047795"/>
    <s v="Edison Local"/>
    <s v="Jefferson"/>
    <x v="1"/>
    <n v="1"/>
    <x v="1"/>
    <n v="1464.399244"/>
    <n v="43199.777697999998"/>
    <n v="1800.24923711369"/>
    <n v="1.2293431893588782"/>
    <n v="17738.014422450233"/>
    <n v="60937.792120450235"/>
    <n v="2522651.1405663961"/>
    <n v="50564.780499686545"/>
    <n v="111502.57262013678"/>
    <n v="76.142194880931513"/>
  </r>
  <r>
    <s v="047803"/>
    <s v="Indian Creek Local"/>
    <s v="Jefferson"/>
    <x v="1"/>
    <n v="1"/>
    <x v="6"/>
    <n v="2011.5026519999999"/>
    <n v="59339.328234000001"/>
    <n v="2505.5748647745199"/>
    <n v="1.2456234458767794"/>
    <n v="26094.56666851752"/>
    <n v="85433.894902517524"/>
    <n v="1324758.0968720475"/>
    <n v="26553.850949234926"/>
    <n v="111987.74585175245"/>
    <n v="55.673675468637889"/>
  </r>
  <r>
    <s v="051128"/>
    <s v="Jefferson County"/>
    <s v="Jefferson"/>
    <x v="3"/>
    <n v="1"/>
    <x v="4"/>
    <n v="342.819548"/>
    <n v="10113.176665999999"/>
    <n v="464.897606189351"/>
    <n v="1.3561000500162581"/>
    <n v="6447.5879149248631"/>
    <n v="16560.764580924864"/>
    <n v="0"/>
    <n v="0"/>
    <n v="16560.764580924864"/>
    <n v="48.307527028548748"/>
  </r>
  <r>
    <n v="66068"/>
    <s v="Jefferson County Board of DD"/>
    <s v="Jefferson"/>
    <x v="2"/>
    <n v="1"/>
    <x v="2"/>
    <n v="63.73"/>
    <n v="1880.0349999999999"/>
    <n v="315.65847400000001"/>
    <n v="4.9530593754903505"/>
    <n v="13305.67514326301"/>
    <n v="15185.71014326301"/>
    <n v="0"/>
    <n v="0"/>
    <n v="15185.71014326301"/>
    <n v="238.28197306234128"/>
  </r>
  <r>
    <s v="110411"/>
    <s v="Jefferson County Christian"/>
    <s v="Jefferson"/>
    <x v="0"/>
    <n v="1"/>
    <x v="0"/>
    <n v="140"/>
    <n v="4130"/>
    <n v="153.2732"/>
    <n v="1.0948085714285714"/>
    <n v="701.02789298663629"/>
    <n v="4831.0278929866363"/>
    <n v="0"/>
    <n v="0"/>
    <n v="4831.0278929866363"/>
    <n v="34.507342092761689"/>
  </r>
  <r>
    <s v="044826"/>
    <s v="Steubenville City"/>
    <s v="Jefferson"/>
    <x v="1"/>
    <n v="1"/>
    <x v="9"/>
    <n v="2543.5638429999999"/>
    <n v="75035.133368499999"/>
    <n v="3496.26284550524"/>
    <n v="1.3745528169568497"/>
    <n v="50317.073077834924"/>
    <n v="125352.20644633492"/>
    <n v="808469.47485804977"/>
    <n v="16205.206054657074"/>
    <n v="141557.41250099201"/>
    <n v="55.653178468692367"/>
  </r>
  <r>
    <s v="044917"/>
    <s v="Toronto City"/>
    <s v="Jefferson"/>
    <x v="1"/>
    <n v="1"/>
    <x v="6"/>
    <n v="890.117707"/>
    <n v="26258.472356499999"/>
    <n v="1078.49391643997"/>
    <n v="1.2116306730655455"/>
    <n v="9949.1439285561482"/>
    <n v="36207.616285056145"/>
    <n v="236813.26901279361"/>
    <n v="4746.7566063679278"/>
    <n v="40954.372891424071"/>
    <n v="46.01006425257426"/>
  </r>
  <r>
    <s v="047829"/>
    <s v="Centerburg Local"/>
    <s v="Knox"/>
    <x v="1"/>
    <n v="1"/>
    <x v="7"/>
    <n v="1086.0523619999999"/>
    <n v="32038.544678999999"/>
    <n v="1251.8933709308001"/>
    <n v="1.1527007488160135"/>
    <n v="8758.9408026351412"/>
    <n v="40797.485481635144"/>
    <n v="805809.40332933422"/>
    <n v="16151.886778440083"/>
    <n v="56949.372260075223"/>
    <n v="52.437041023695343"/>
  </r>
  <r>
    <s v="093864"/>
    <s v="Christian Star Academy"/>
    <s v="Knox"/>
    <x v="0"/>
    <n v="1"/>
    <x v="0"/>
    <n v="13"/>
    <n v="383.5"/>
    <n v="13"/>
    <n v="1"/>
    <n v="0"/>
    <n v="383.5"/>
    <n v="0"/>
    <n v="0"/>
    <n v="383.5"/>
    <n v="29.5"/>
  </r>
  <r>
    <s v="047837"/>
    <s v="Danville Local "/>
    <s v="Knox"/>
    <x v="1"/>
    <n v="1"/>
    <x v="3"/>
    <n v="610.47132399999998"/>
    <n v="18008.904058"/>
    <n v="712.06166665463502"/>
    <n v="1.1664129643125303"/>
    <n v="5365.5232995034494"/>
    <n v="23374.427357503449"/>
    <n v="371164.71342285915"/>
    <n v="7439.7374895214771"/>
    <n v="30814.164847024927"/>
    <n v="50.476023419283372"/>
  </r>
  <r>
    <s v="047845"/>
    <s v="East Knox Local"/>
    <s v="Knox"/>
    <x v="1"/>
    <n v="1"/>
    <x v="3"/>
    <n v="893.50758399999995"/>
    <n v="26358.473727999997"/>
    <n v="1078.4392512161101"/>
    <n v="1.2069726889034555"/>
    <n v="9767.2194357815333"/>
    <n v="36125.693163781529"/>
    <n v="1187999.3174355603"/>
    <n v="23812.616716562388"/>
    <n v="59938.309880343921"/>
    <n v="67.082038198283414"/>
  </r>
  <r>
    <s v="047852"/>
    <s v="Fredericktown Local"/>
    <s v="Knox"/>
    <x v="1"/>
    <n v="1"/>
    <x v="1"/>
    <n v="1193.731121"/>
    <n v="35215.068069499997"/>
    <n v="1505.60505461504"/>
    <n v="1.2612597829851167"/>
    <n v="16471.711912696675"/>
    <n v="51686.779982196676"/>
    <n v="894475.02951102983"/>
    <n v="17929.127338440019"/>
    <n v="69615.907320636703"/>
    <n v="58.317912715820619"/>
  </r>
  <r>
    <s v="051144"/>
    <s v="Knox County JVSD"/>
    <s v="Knox"/>
    <x v="3"/>
    <n v="1"/>
    <x v="4"/>
    <n v="574.99783400000001"/>
    <n v="16962.436103"/>
    <n v="753.81816183459796"/>
    <n v="1.3109930459922357"/>
    <n v="9444.4472806156555"/>
    <n v="26406.883383615655"/>
    <n v="0"/>
    <n v="0"/>
    <n v="26406.883383615655"/>
    <n v="45.925187578386002"/>
  </r>
  <r>
    <s v="044420"/>
    <s v="Mount Vernon City"/>
    <s v="Knox"/>
    <x v="1"/>
    <n v="1"/>
    <x v="7"/>
    <n v="3673.4784239999999"/>
    <n v="108367.61350799999"/>
    <n v="4677.1328842921703"/>
    <n v="1.2732163754481249"/>
    <n v="53008.300303262193"/>
    <n v="161375.91381126217"/>
    <n v="2182251.3375166086"/>
    <n v="43741.704154899337"/>
    <n v="205117.61796616152"/>
    <n v="55.837436427028685"/>
  </r>
  <r>
    <s v="054148"/>
    <s v="Mount Vernon Seventh-Day Adven"/>
    <s v="Knox"/>
    <x v="0"/>
    <n v="1"/>
    <x v="0"/>
    <n v="26"/>
    <n v="767"/>
    <n v="33.736600000000003"/>
    <n v="1.2975615384615387"/>
    <n v="408.61076431308283"/>
    <n v="1175.6107643130829"/>
    <n v="0"/>
    <n v="0"/>
    <n v="1175.6107643130829"/>
    <n v="45.215798627426267"/>
  </r>
  <r>
    <s v="058214"/>
    <s v="St Vincent De Paul"/>
    <s v="Knox"/>
    <x v="0"/>
    <n v="1"/>
    <x v="0"/>
    <n v="153"/>
    <n v="4513.5"/>
    <n v="165.9674"/>
    <n v="1.0847542483660131"/>
    <n v="684.8769776327415"/>
    <n v="5198.3769776327417"/>
    <n v="0"/>
    <n v="0"/>
    <n v="5198.3769776327417"/>
    <n v="33.976320115246679"/>
  </r>
  <r>
    <s v="070664"/>
    <s v="All Saints Of St John Vianney"/>
    <s v="Lake"/>
    <x v="0"/>
    <n v="1"/>
    <x v="0"/>
    <n v="262"/>
    <n v="7729"/>
    <n v="273.4862"/>
    <n v="1.0438404580152671"/>
    <n v="606.64697167398208"/>
    <n v="8335.6469716739812"/>
    <n v="0"/>
    <n v="0"/>
    <n v="8335.6469716739812"/>
    <n v="31.815446456770921"/>
  </r>
  <r>
    <s v="052613"/>
    <s v="Andrews Osborne Academy "/>
    <s v="Lake"/>
    <x v="0"/>
    <n v="1"/>
    <x v="0"/>
    <n v="254"/>
    <n v="7493"/>
    <n v="254"/>
    <n v="1"/>
    <n v="0"/>
    <n v="7493"/>
    <n v="0"/>
    <n v="0"/>
    <n v="7493"/>
    <n v="29.5"/>
  </r>
  <r>
    <s v="051169"/>
    <s v="Auburn"/>
    <s v="Lake"/>
    <x v="3"/>
    <n v="1"/>
    <x v="4"/>
    <n v="365.17744599999997"/>
    <n v="10772.734656999999"/>
    <n v="453.88239837374999"/>
    <n v="1.2429091756497745"/>
    <n v="4684.9776888805936"/>
    <n v="15457.712345880593"/>
    <n v="0"/>
    <n v="0"/>
    <n v="15457.712345880593"/>
    <n v="42.329318294976503"/>
  </r>
  <r>
    <s v="133140"/>
    <s v="Cornerstone Christian Academy"/>
    <s v="Lake"/>
    <x v="0"/>
    <n v="1"/>
    <x v="0"/>
    <n v="449"/>
    <n v="13245.5"/>
    <n v="449"/>
    <n v="1"/>
    <n v="0"/>
    <n v="13245.5"/>
    <n v="0"/>
    <n v="0"/>
    <n v="13245.5"/>
    <n v="29.5"/>
  </r>
  <r>
    <s v="045369"/>
    <s v="Fairport Harbor Exempted Village"/>
    <s v="Lake"/>
    <x v="1"/>
    <n v="1"/>
    <x v="6"/>
    <n v="684.94296499999996"/>
    <n v="20205.817467499997"/>
    <n v="803.37899330819903"/>
    <n v="1.1729137086738297"/>
    <n v="6255.2330544708429"/>
    <n v="26461.050521970839"/>
    <n v="0"/>
    <n v="0"/>
    <n v="26461.050521970839"/>
    <n v="38.632487483057574"/>
  </r>
  <r>
    <s v="094250"/>
    <s v="Hershey Montessori"/>
    <s v="Lake"/>
    <x v="0"/>
    <n v="1"/>
    <x v="0"/>
    <n v="109"/>
    <n v="3215.5"/>
    <n v="111.9496"/>
    <n v="1.0270605504587156"/>
    <n v="155.78397621925271"/>
    <n v="3371.2839762192525"/>
    <n v="0"/>
    <n v="0"/>
    <n v="3371.2839762192525"/>
    <n v="30.929210791002316"/>
  </r>
  <r>
    <s v="015329"/>
    <s v="iSTEM Geauga Early College High School"/>
    <s v="Lake"/>
    <x v="5"/>
    <n v="1"/>
    <x v="12"/>
    <n v="177.59781599999999"/>
    <n v="5239.1355720000001"/>
    <n v="199.63506113656601"/>
    <n v="1.1240851133921941"/>
    <n v="1163.9034690441542"/>
    <n v="6403.0390410441541"/>
    <n v="0"/>
    <n v="0"/>
    <n v="6403.0390410441541"/>
    <n v="36.053591115355573"/>
  </r>
  <r>
    <s v="047878"/>
    <s v="Kirtland Local"/>
    <s v="Lake"/>
    <x v="1"/>
    <n v="1"/>
    <x v="10"/>
    <n v="1185.3744610000001"/>
    <n v="34968.546599500005"/>
    <n v="1321.61393638707"/>
    <n v="1.1149337022767778"/>
    <n v="7195.5272558390052"/>
    <n v="42164.073855339011"/>
    <n v="836823.26030884159"/>
    <n v="16773.537884056437"/>
    <n v="58937.611739395448"/>
    <n v="49.720669441177918"/>
  </r>
  <r>
    <s v="064394"/>
    <s v="Lake Catholic"/>
    <s v="Lake"/>
    <x v="0"/>
    <n v="1"/>
    <x v="0"/>
    <n v="506"/>
    <n v="14927"/>
    <n v="537.29680000000008"/>
    <n v="1.0618513833992096"/>
    <n v="1652.9495344923764"/>
    <n v="16579.949534492378"/>
    <n v="0"/>
    <n v="0"/>
    <n v="16579.949534492378"/>
    <n v="32.766698684767547"/>
  </r>
  <r>
    <n v="70037"/>
    <s v="Lake County Board of DD"/>
    <s v="Lake"/>
    <x v="2"/>
    <n v="1"/>
    <x v="2"/>
    <n v="45.269999999999996"/>
    <n v="1335.4649999999999"/>
    <n v="204.79896600000001"/>
    <n v="4.5239444665341288"/>
    <n v="8425.5684315249327"/>
    <n v="9761.0334315249329"/>
    <n v="0"/>
    <n v="0"/>
    <n v="9761.0334315249329"/>
    <n v="215.61814516290997"/>
  </r>
  <r>
    <s v="047886"/>
    <s v="Madison Local "/>
    <s v="Lake"/>
    <x v="1"/>
    <n v="1"/>
    <x v="6"/>
    <n v="2985.3092240000001"/>
    <n v="88066.622107999996"/>
    <n v="3576.9698379668298"/>
    <n v="1.1981907298615004"/>
    <n v="31248.726273419084"/>
    <n v="119315.34838141908"/>
    <n v="1557414.2837562675"/>
    <n v="31217.281747301316"/>
    <n v="150532.6301287204"/>
    <n v="50.42446823214599"/>
  </r>
  <r>
    <s v="057539"/>
    <s v="Mater Dei Academy"/>
    <s v="Lake"/>
    <x v="0"/>
    <n v="1"/>
    <x v="0"/>
    <n v="354"/>
    <n v="10443"/>
    <n v="369.02359999999999"/>
    <n v="1.0424395480225987"/>
    <n v="793.47577472455919"/>
    <n v="11236.475774724559"/>
    <n v="0"/>
    <n v="0"/>
    <n v="11236.475774724559"/>
    <n v="31.741456990747341"/>
  </r>
  <r>
    <s v="018003"/>
    <s v="Mentor Christian School"/>
    <s v="Lake"/>
    <x v="0"/>
    <n v="1"/>
    <x v="0"/>
    <n v="128"/>
    <n v="3776"/>
    <n v="128"/>
    <n v="1"/>
    <n v="0"/>
    <n v="3776"/>
    <n v="0"/>
    <n v="0"/>
    <n v="3776"/>
    <n v="29.5"/>
  </r>
  <r>
    <s v="045492"/>
    <s v="Mentor Exempted Village"/>
    <s v="Lake"/>
    <x v="1"/>
    <n v="1"/>
    <x v="10"/>
    <n v="7646.1555429999999"/>
    <n v="225561.58851850001"/>
    <n v="9425.6815643071895"/>
    <n v="1.2327347398701995"/>
    <n v="93986.180968558532"/>
    <n v="319547.76948705851"/>
    <n v="5169138.0211976096"/>
    <n v="103611.76193223287"/>
    <n v="423159.53141929139"/>
    <n v="55.342783577910716"/>
  </r>
  <r>
    <s v="090464"/>
    <s v="Our Shepherd Evangel Lutheran"/>
    <s v="Lake"/>
    <x v="0"/>
    <n v="1"/>
    <x v="0"/>
    <n v="151"/>
    <n v="4454.5"/>
    <n v="161.46180000000001"/>
    <n v="1.0692834437086094"/>
    <n v="552.54298969710385"/>
    <n v="5007.0429896971036"/>
    <n v="0"/>
    <n v="0"/>
    <n v="5007.0429896971036"/>
    <n v="33.159225097331813"/>
  </r>
  <r>
    <s v="044628"/>
    <s v="Painesville City Local"/>
    <s v="Lake"/>
    <x v="1"/>
    <n v="1"/>
    <x v="9"/>
    <n v="2882.7111220000002"/>
    <n v="85039.978099"/>
    <n v="4070.0764472615101"/>
    <n v="1.4118918875359685"/>
    <n v="62711.042715657735"/>
    <n v="147751.02081465774"/>
    <n v="1118729.4469675904"/>
    <n v="22424.150535436685"/>
    <n v="170175.17135009443"/>
    <n v="59.033029723779038"/>
  </r>
  <r>
    <s v="047902"/>
    <s v="Perry Local"/>
    <s v="Lake"/>
    <x v="1"/>
    <n v="1"/>
    <x v="10"/>
    <n v="1608.1625329999999"/>
    <n v="47440.794723499996"/>
    <n v="1817.3721298616899"/>
    <n v="1.1300923212477865"/>
    <n v="11049.465304563641"/>
    <n v="58490.26002806364"/>
    <n v="929035.15044920798"/>
    <n v="18621.860828687597"/>
    <n v="77112.120856751237"/>
    <n v="47.950452317092527"/>
  </r>
  <r>
    <s v="047894"/>
    <s v="Riverside Local"/>
    <s v="Lake"/>
    <x v="1"/>
    <n v="1"/>
    <x v="10"/>
    <n v="3873.565263"/>
    <n v="114270.17525849999"/>
    <n v="4481.6028877691397"/>
    <n v="1.1569710546965786"/>
    <n v="32113.682830704649"/>
    <n v="146383.85808920464"/>
    <n v="3287239.5773396841"/>
    <n v="65890.421788857973"/>
    <n v="212274.2798780626"/>
    <n v="54.800749558989061"/>
  </r>
  <r>
    <s v="057422"/>
    <s v="St Gabriel"/>
    <s v="Lake"/>
    <x v="0"/>
    <n v="1"/>
    <x v="0"/>
    <n v="504"/>
    <n v="14868"/>
    <n v="511.32439999999997"/>
    <n v="1.0145325396825395"/>
    <n v="386.84030221734741"/>
    <n v="15254.840302217348"/>
    <n v="0"/>
    <n v="0"/>
    <n v="15254.840302217348"/>
    <n v="30.267540282177279"/>
  </r>
  <r>
    <s v="057430"/>
    <s v="St Mary Of The Assumption"/>
    <s v="Lake"/>
    <x v="0"/>
    <n v="1"/>
    <x v="0"/>
    <n v="293"/>
    <n v="8643.5"/>
    <n v="309.68540000000002"/>
    <n v="1.0569467576791809"/>
    <n v="881.24422186354695"/>
    <n v="9524.7442218635479"/>
    <n v="0"/>
    <n v="0"/>
    <n v="9524.7442218635479"/>
    <n v="32.507659460285147"/>
  </r>
  <r>
    <s v="000629"/>
    <s v="Summit Academy Community School - Painesville"/>
    <s v="Lake"/>
    <x v="4"/>
    <n v="1"/>
    <x v="8"/>
    <n v="75.323355000000006"/>
    <n v="2222.0389725"/>
    <n v="188.43828563873299"/>
    <n v="2.5017245400013444"/>
    <n v="5974.1977436488924"/>
    <n v="8196.2367161488928"/>
    <n v="0"/>
    <n v="0"/>
    <n v="8196.2367161488928"/>
    <n v="108.81401546902541"/>
  </r>
  <r>
    <s v="053918"/>
    <s v="Telshe"/>
    <s v="Lake"/>
    <x v="0"/>
    <n v="1"/>
    <x v="0"/>
    <n v="129"/>
    <n v="3805.5"/>
    <n v="129"/>
    <n v="1"/>
    <n v="0"/>
    <n v="3805.5"/>
    <n v="0"/>
    <n v="0"/>
    <n v="3805.5"/>
    <n v="29.5"/>
  </r>
  <r>
    <s v="045088"/>
    <s v="Wickliffe City"/>
    <s v="Lake"/>
    <x v="1"/>
    <n v="1"/>
    <x v="9"/>
    <n v="1265.981841"/>
    <n v="37346.464309499999"/>
    <n v="1551.0945542156801"/>
    <n v="1.2252107447216378"/>
    <n v="15058.310325263785"/>
    <n v="52404.774634763788"/>
    <n v="416263.0380839993"/>
    <n v="8343.701914377365"/>
    <n v="60748.476549141153"/>
    <n v="47.985266914378393"/>
  </r>
  <r>
    <s v="112680"/>
    <s v="Willoughby Montessori Dayschl"/>
    <s v="Lake"/>
    <x v="0"/>
    <n v="1"/>
    <x v="0"/>
    <n v="5"/>
    <n v="147.5"/>
    <n v="5"/>
    <n v="1"/>
    <n v="0"/>
    <n v="147.5"/>
    <n v="0"/>
    <n v="0"/>
    <n v="147.5"/>
    <n v="29.5"/>
  </r>
  <r>
    <s v="045104"/>
    <s v="Willoughby-Eastlake City"/>
    <s v="Lake"/>
    <x v="1"/>
    <n v="1"/>
    <x v="10"/>
    <n v="7661.7893670000003"/>
    <n v="226022.78632650001"/>
    <n v="9515.8875716720504"/>
    <n v="1.2419928447338704"/>
    <n v="97924.732378895234"/>
    <n v="323947.51870539522"/>
    <n v="4779222.1946943812"/>
    <n v="95796.171475257186"/>
    <n v="419743.69018065243"/>
    <n v="54.784028909555431"/>
  </r>
  <r>
    <s v="045294"/>
    <s v="Chesapeake Union Exempted Village"/>
    <s v="Lawrence"/>
    <x v="1"/>
    <n v="1"/>
    <x v="3"/>
    <n v="1287.1711190000001"/>
    <n v="37971.548010500002"/>
    <n v="1656.99264812911"/>
    <n v="1.2873134144094402"/>
    <n v="19532.230912400613"/>
    <n v="57503.778922900616"/>
    <n v="885307.04524427676"/>
    <n v="17745.361495982364"/>
    <n v="75249.140418882977"/>
    <n v="58.460867640771681"/>
  </r>
  <r>
    <s v="047928"/>
    <s v="Dawson-Bryant Local"/>
    <s v="Lawrence"/>
    <x v="1"/>
    <n v="1"/>
    <x v="3"/>
    <n v="1078.6332600000001"/>
    <n v="31819.681170000003"/>
    <n v="1552.0246592471699"/>
    <n v="1.4388807732919062"/>
    <n v="25002.303526823896"/>
    <n v="56821.9846968239"/>
    <n v="773746.11920509546"/>
    <n v="15509.200638541563"/>
    <n v="72331.185335365459"/>
    <n v="67.0581818841424"/>
  </r>
  <r>
    <s v="047936"/>
    <s v="Fairland Local "/>
    <s v="Lawrence"/>
    <x v="1"/>
    <n v="1"/>
    <x v="7"/>
    <n v="1561.7303629999999"/>
    <n v="46071.045708499994"/>
    <n v="1904.7943234525101"/>
    <n v="1.2196691366065924"/>
    <n v="18119.022191760381"/>
    <n v="64190.067900260372"/>
    <n v="639009.57236784697"/>
    <n v="12808.500646159127"/>
    <n v="76998.568546419498"/>
    <n v="49.30336911585006"/>
  </r>
  <r>
    <s v="044149"/>
    <s v="Ironton City School District"/>
    <s v="Lawrence"/>
    <x v="1"/>
    <n v="1"/>
    <x v="6"/>
    <n v="1328.105673"/>
    <n v="39179.117353499998"/>
    <n v="1787.3371614609"/>
    <n v="1.3457793290074291"/>
    <n v="24254.443747465677"/>
    <n v="63433.561100965671"/>
    <n v="1055195.8635439544"/>
    <n v="21150.664222361556"/>
    <n v="84584.225323327235"/>
    <n v="63.687872917720178"/>
  </r>
  <r>
    <s v="051185"/>
    <s v="Lawrence County"/>
    <s v="Lawrence"/>
    <x v="3"/>
    <n v="1"/>
    <x v="4"/>
    <n v="567.04812300000003"/>
    <n v="16727.9196285"/>
    <n v="825.81708965214898"/>
    <n v="1.4563439259495599"/>
    <n v="13666.957739089676"/>
    <n v="30394.877367589674"/>
    <n v="0"/>
    <n v="0"/>
    <n v="30394.877367589674"/>
    <n v="53.601936299134302"/>
  </r>
  <r>
    <n v="71472"/>
    <s v="Lawrence County Bd of DD"/>
    <s v="Lawrence"/>
    <x v="2"/>
    <n v="1"/>
    <x v="2"/>
    <n v="61.379999999999995"/>
    <n v="1810.7099999999998"/>
    <n v="293.40777400000002"/>
    <n v="4.7801853046594989"/>
    <n v="12254.613922912291"/>
    <n v="14065.32392291229"/>
    <n v="0"/>
    <n v="0"/>
    <n v="14065.32392291229"/>
    <n v="229.15157906341301"/>
  </r>
  <r>
    <s v="047944"/>
    <s v="Rock Hill Local"/>
    <s v="Lawrence"/>
    <x v="1"/>
    <n v="1"/>
    <x v="3"/>
    <n v="1377.8624500000001"/>
    <n v="40646.942275000001"/>
    <n v="2024.9467387766099"/>
    <n v="1.4696290901726872"/>
    <n v="34175.943671896966"/>
    <n v="74822.885946896975"/>
    <n v="1980818.3032629103"/>
    <n v="39704.119647618951"/>
    <n v="114527.00559451593"/>
    <n v="83.119331392270624"/>
  </r>
  <r>
    <s v="047951"/>
    <s v="South Point Local"/>
    <s v="Lawrence"/>
    <x v="1"/>
    <n v="1"/>
    <x v="6"/>
    <n v="1516.9189409999999"/>
    <n v="44749.108759499999"/>
    <n v="2042.39957530277"/>
    <n v="1.3464131273595654"/>
    <n v="27753.4115262749"/>
    <n v="72502.520285774895"/>
    <n v="1206095.4956393931"/>
    <n v="24175.341971769325"/>
    <n v="96677.862257544213"/>
    <n v="63.733044426099113"/>
  </r>
  <r>
    <s v="053728"/>
    <s v="St Joseph Central"/>
    <s v="Lawrence"/>
    <x v="0"/>
    <n v="1"/>
    <x v="0"/>
    <n v="60"/>
    <n v="1770"/>
    <n v="64.949600000000004"/>
    <n v="1.0824933333333333"/>
    <n v="261.4145540733702"/>
    <n v="2031.4145540733703"/>
    <n v="0"/>
    <n v="0"/>
    <n v="2031.4145540733703"/>
    <n v="33.85690923455617"/>
  </r>
  <r>
    <s v="058370"/>
    <s v="St Lawrence"/>
    <s v="Lawrence"/>
    <x v="0"/>
    <n v="1"/>
    <x v="0"/>
    <n v="96"/>
    <n v="2832"/>
    <n v="102.81219999999999"/>
    <n v="1.0709604166666666"/>
    <n v="359.78831122890909"/>
    <n v="3191.7883112289092"/>
    <n v="0"/>
    <n v="0"/>
    <n v="3191.7883112289092"/>
    <n v="33.247794908634468"/>
  </r>
  <r>
    <s v="047969"/>
    <s v="Symmes Valley Local"/>
    <s v="Lawrence"/>
    <x v="1"/>
    <n v="1"/>
    <x v="3"/>
    <n v="760.19175900000005"/>
    <n v="22425.656890500002"/>
    <n v="1072.0584310664899"/>
    <n v="1.4102473729480272"/>
    <n v="16471.328391911946"/>
    <n v="38896.985282411944"/>
    <n v="1111149.843656328"/>
    <n v="22272.222680036662"/>
    <n v="61169.207962448607"/>
    <n v="80.465497340978942"/>
  </r>
  <r>
    <s v="015344"/>
    <s v="Tri-State STEM+M Early College High School"/>
    <s v="Lawrence"/>
    <x v="5"/>
    <n v="1"/>
    <x v="12"/>
    <n v="65.531210000000002"/>
    <n v="1933.170695"/>
    <n v="72.059263031827896"/>
    <n v="1.0996174652021211"/>
    <n v="344.78100700715208"/>
    <n v="2277.9517020071521"/>
    <n v="0"/>
    <n v="0"/>
    <n v="2277.9517020071521"/>
    <n v="34.761325206831252"/>
  </r>
  <r>
    <s v="057570"/>
    <s v="Blessed Sacrament"/>
    <s v="Licking"/>
    <x v="0"/>
    <n v="1"/>
    <x v="0"/>
    <n v="143"/>
    <n v="4218.5"/>
    <n v="146.81219999999999"/>
    <n v="1.0266587412587411"/>
    <n v="201.34244444773282"/>
    <n v="4419.8424444477332"/>
    <n v="0"/>
    <n v="0"/>
    <n v="4419.8424444477332"/>
    <n v="30.907989122012122"/>
  </r>
  <r>
    <s v="051201"/>
    <s v="Career and Technology Educational Centers"/>
    <s v="Licking"/>
    <x v="3"/>
    <n v="1"/>
    <x v="4"/>
    <n v="848.21859500000005"/>
    <n v="25022.448552500002"/>
    <n v="990.76300198127296"/>
    <n v="1.168051499721334"/>
    <n v="7528.5240396521795"/>
    <n v="32550.972592152182"/>
    <n v="0"/>
    <n v="0"/>
    <n v="32550.972592152182"/>
    <n v="38.375688512407798"/>
  </r>
  <r>
    <s v="126144"/>
    <s v="Granville Christian Academy"/>
    <s v="Licking"/>
    <x v="0"/>
    <n v="1"/>
    <x v="0"/>
    <n v="232"/>
    <n v="6844"/>
    <n v="242.3236"/>
    <n v="1.0444982758620689"/>
    <n v="545.24391676738367"/>
    <n v="7389.2439167673838"/>
    <n v="0"/>
    <n v="0"/>
    <n v="7389.2439167673838"/>
    <n v="31.850189296411138"/>
  </r>
  <r>
    <s v="045393"/>
    <s v="Granville Exempted Village"/>
    <s v="Licking"/>
    <x v="1"/>
    <n v="1"/>
    <x v="11"/>
    <n v="2424.201881"/>
    <n v="71513.955489500004"/>
    <n v="2802.0286367642898"/>
    <n v="1.1558561433045476"/>
    <n v="19955.029270064228"/>
    <n v="91468.984759564235"/>
    <n v="1447314.6054004636"/>
    <n v="29010.410579258096"/>
    <n v="120479.39533882233"/>
    <n v="49.698581740693868"/>
  </r>
  <r>
    <s v="044115"/>
    <s v="Heath City"/>
    <s v="Licking"/>
    <x v="1"/>
    <n v="1"/>
    <x v="6"/>
    <n v="1641.665722"/>
    <n v="48429.138799"/>
    <n v="1993.9261466824901"/>
    <n v="1.2145750014523908"/>
    <n v="18604.736107174132"/>
    <n v="67033.87490617414"/>
    <n v="726961.65983617795"/>
    <n v="14571.438820926673"/>
    <n v="81605.313727100816"/>
    <n v="49.708849148463138"/>
  </r>
  <r>
    <s v="047985"/>
    <s v="Johnstown-Monroe Local"/>
    <s v="Licking"/>
    <x v="1"/>
    <n v="1"/>
    <x v="7"/>
    <n v="1667.826409"/>
    <n v="49200.879065499998"/>
    <n v="1857.14856490234"/>
    <n v="1.1135143051343421"/>
    <n v="9999.1043642757486"/>
    <n v="59199.983429775748"/>
    <n v="694225.95164474985"/>
    <n v="13915.274410167242"/>
    <n v="73115.257839942991"/>
    <n v="43.838649781173352"/>
  </r>
  <r>
    <s v="047993"/>
    <s v="Lakewood Local"/>
    <s v="Licking"/>
    <x v="1"/>
    <n v="1"/>
    <x v="6"/>
    <n v="1798.2595679999999"/>
    <n v="53048.657255999999"/>
    <n v="2276.5935405814898"/>
    <n v="1.265998291399882"/>
    <n v="25263.346965519184"/>
    <n v="78312.004221519179"/>
    <n v="1668099.3998751116"/>
    <n v="33435.88760648288"/>
    <n v="111747.89182800206"/>
    <n v="62.142247880425046"/>
  </r>
  <r>
    <s v="000551"/>
    <s v="Liberty Christian Academy - East Campus"/>
    <s v="Licking"/>
    <x v="0"/>
    <n v="1"/>
    <x v="0"/>
    <n v="409"/>
    <n v="12065.5"/>
    <n v="409"/>
    <n v="1"/>
    <n v="0"/>
    <n v="12065.5"/>
    <n v="0"/>
    <n v="0"/>
    <n v="12065.5"/>
    <n v="29.5"/>
  </r>
  <r>
    <s v="048009"/>
    <s v="Licking Heights Local"/>
    <s v="Licking"/>
    <x v="1"/>
    <n v="1"/>
    <x v="10"/>
    <n v="4437.3093769999996"/>
    <n v="130900.62662149999"/>
    <n v="5456.6858390004199"/>
    <n v="1.2297285078394975"/>
    <n v="53838.662365995122"/>
    <n v="184739.28898749512"/>
    <n v="3283443.5290093361"/>
    <n v="65814.33265092544"/>
    <n v="250553.62163842056"/>
    <n v="56.465213567735553"/>
  </r>
  <r>
    <s v="048017"/>
    <s v="Licking Valley Local"/>
    <s v="Licking"/>
    <x v="1"/>
    <n v="1"/>
    <x v="7"/>
    <n v="1993.858379"/>
    <n v="58818.822180499999"/>
    <n v="2340.5764965653598"/>
    <n v="1.1738930513907677"/>
    <n v="18312.017555460399"/>
    <n v="77130.839735960399"/>
    <n v="2045925.6218216284"/>
    <n v="41009.150382509062"/>
    <n v="118139.99011846946"/>
    <n v="59.251946558873158"/>
  </r>
  <r>
    <s v="119248"/>
    <s v="Montessori Community"/>
    <s v="Licking"/>
    <x v="0"/>
    <n v="1"/>
    <x v="0"/>
    <n v="5"/>
    <n v="147.5"/>
    <n v="5"/>
    <n v="1"/>
    <n v="0"/>
    <n v="147.5"/>
    <n v="0"/>
    <n v="0"/>
    <n v="147.5"/>
    <n v="29.5"/>
  </r>
  <r>
    <s v="053355"/>
    <s v="Newark Catholic"/>
    <s v="Licking"/>
    <x v="0"/>
    <n v="1"/>
    <x v="0"/>
    <n v="207"/>
    <n v="6106.5"/>
    <n v="210.14959999999999"/>
    <n v="1.015215458937198"/>
    <n v="166.34703400466384"/>
    <n v="6272.8470340046642"/>
    <n v="0"/>
    <n v="0"/>
    <n v="6272.8470340046642"/>
    <n v="30.303608859925916"/>
  </r>
  <r>
    <s v="044453"/>
    <s v="Newark City"/>
    <s v="Licking"/>
    <x v="1"/>
    <n v="1"/>
    <x v="9"/>
    <n v="6451.0442510000003"/>
    <n v="190305.80540450002"/>
    <n v="8575.1209250454303"/>
    <n v="1.3292609058938278"/>
    <n v="112183.72324293539"/>
    <n v="302489.52864743542"/>
    <n v="2828541.7431413867"/>
    <n v="56696.144019355954"/>
    <n v="359185.67266679136"/>
    <n v="55.678686843779232"/>
  </r>
  <r>
    <s v="048025"/>
    <s v="North Fork Local"/>
    <s v="Licking"/>
    <x v="1"/>
    <n v="1"/>
    <x v="3"/>
    <n v="1552.079626"/>
    <n v="45786.348966999998"/>
    <n v="1873.8730745477401"/>
    <n v="1.2073305023512628"/>
    <n v="16995.613959883507"/>
    <n v="62781.962926883505"/>
    <n v="2117613.8355522202"/>
    <n v="42446.090565561135"/>
    <n v="105228.05349244464"/>
    <n v="67.798102448929797"/>
  </r>
  <r>
    <s v="048033"/>
    <s v="Northridge Local"/>
    <s v="Licking"/>
    <x v="1"/>
    <n v="1"/>
    <x v="7"/>
    <n v="1122.1083920000001"/>
    <n v="33102.197564000002"/>
    <n v="1318.0531766454201"/>
    <n v="1.1746219759538346"/>
    <n v="10348.880414798161"/>
    <n v="43451.077978798159"/>
    <n v="2302977.5038632792"/>
    <n v="46161.575854050512"/>
    <n v="89612.653832848679"/>
    <n v="79.860960377568119"/>
  </r>
  <r>
    <s v="000941"/>
    <s v="Par Excellence Academy"/>
    <s v="Licking"/>
    <x v="4"/>
    <n v="1"/>
    <x v="8"/>
    <n v="252.514892"/>
    <n v="7449.1893140000002"/>
    <n v="357.86074355313701"/>
    <n v="1.4171866883523725"/>
    <n v="5563.8715870459719"/>
    <n v="13013.060901045972"/>
    <n v="0"/>
    <n v="0"/>
    <n v="13013.060901045972"/>
    <n v="51.533835481853373"/>
  </r>
  <r>
    <s v="048041"/>
    <s v="Southwest Licking Local"/>
    <s v="Licking"/>
    <x v="1"/>
    <n v="1"/>
    <x v="10"/>
    <n v="4201.5989730000001"/>
    <n v="123947.1697035"/>
    <n v="5038.2837386702204"/>
    <n v="1.1991348462922953"/>
    <n v="44189.74763974113"/>
    <n v="168136.91734324113"/>
    <n v="2584018.2838802212"/>
    <n v="51794.842033624875"/>
    <n v="219931.75937686602"/>
    <n v="52.34477654582814"/>
  </r>
  <r>
    <s v="057885"/>
    <s v="St Francis De Sales"/>
    <s v="Licking"/>
    <x v="0"/>
    <n v="1"/>
    <x v="0"/>
    <n v="255"/>
    <n v="7522.5"/>
    <n v="267.76099999999997"/>
    <n v="1.0500431372549017"/>
    <n v="673.9759019981949"/>
    <n v="8196.4759019981957"/>
    <n v="0"/>
    <n v="0"/>
    <n v="8196.4759019981957"/>
    <n v="32.1430427529341"/>
  </r>
  <r>
    <s v="017488"/>
    <s v="The Learning Spectrum, LTD - Johnstown"/>
    <s v="Licking"/>
    <x v="0"/>
    <n v="1"/>
    <x v="0"/>
    <n v="22"/>
    <n v="649"/>
    <n v="22"/>
    <n v="1"/>
    <n v="0"/>
    <n v="649"/>
    <n v="0"/>
    <n v="0"/>
    <n v="649"/>
    <n v="29.5"/>
  </r>
  <r>
    <s v="089409"/>
    <s v="Welsh Hills School"/>
    <s v="Licking"/>
    <x v="0"/>
    <n v="1"/>
    <x v="0"/>
    <n v="58"/>
    <n v="1711"/>
    <n v="58"/>
    <n v="1"/>
    <n v="0"/>
    <n v="1711"/>
    <n v="0"/>
    <n v="0"/>
    <n v="1711"/>
    <n v="29.5"/>
  </r>
  <r>
    <s v="043588"/>
    <s v="Bellefontaine City "/>
    <s v="Logan"/>
    <x v="1"/>
    <n v="1"/>
    <x v="6"/>
    <n v="2315.218081"/>
    <n v="68298.933389500002"/>
    <n v="2893.7929248016599"/>
    <n v="1.2499007970565603"/>
    <n v="30557.597541312552"/>
    <n v="98856.530930812558"/>
    <n v="1252356.6816995707"/>
    <n v="25102.615141321752"/>
    <n v="123959.14607213432"/>
    <n v="53.541023668316072"/>
  </r>
  <r>
    <s v="048074"/>
    <s v="Benjamin Logan Local"/>
    <s v="Logan"/>
    <x v="1"/>
    <n v="1"/>
    <x v="7"/>
    <n v="1675.205958"/>
    <n v="49418.575761"/>
    <n v="1925.8762095601401"/>
    <n v="1.1496354823495321"/>
    <n v="13239.221761567296"/>
    <n v="62657.7975225673"/>
    <n v="1825098.742865755"/>
    <n v="36582.829801246466"/>
    <n v="99240.627323813766"/>
    <n v="59.240851460614117"/>
  </r>
  <r>
    <s v="015185"/>
    <s v="Calvary Christian School"/>
    <s v="Logan"/>
    <x v="0"/>
    <n v="1"/>
    <x v="0"/>
    <n v="210"/>
    <n v="6195"/>
    <n v="226.29840000000002"/>
    <n v="1.0776114285714287"/>
    <n v="860.80470504877508"/>
    <n v="7055.8047050487748"/>
    <n v="0"/>
    <n v="0"/>
    <n v="7055.8047050487748"/>
    <n v="33.599070024041787"/>
  </r>
  <r>
    <s v="048082"/>
    <s v="Indian Lake Local"/>
    <s v="Logan"/>
    <x v="1"/>
    <n v="1"/>
    <x v="6"/>
    <n v="1430.463915"/>
    <n v="42198.685492500001"/>
    <n v="1727.42734377844"/>
    <n v="1.2075993848320459"/>
    <n v="15684.209291703341"/>
    <n v="57882.894784203338"/>
    <n v="1056936.9246195054"/>
    <n v="21185.562575806503"/>
    <n v="79068.457360009837"/>
    <n v="55.274695524220782"/>
  </r>
  <r>
    <s v="051334"/>
    <s v="Ohio Hi-Point Career Center"/>
    <s v="Logan"/>
    <x v="3"/>
    <n v="1"/>
    <x v="4"/>
    <n v="937.19463499999995"/>
    <n v="27647.241732499999"/>
    <n v="1142.01490798605"/>
    <n v="1.2185461432843672"/>
    <n v="10817.641895877281"/>
    <n v="38464.883628377283"/>
    <n v="0"/>
    <n v="0"/>
    <n v="38464.883628377283"/>
    <n v="41.042577701458228"/>
  </r>
  <r>
    <s v="048090"/>
    <s v="Riverside Local"/>
    <s v="Logan"/>
    <x v="1"/>
    <n v="1"/>
    <x v="3"/>
    <n v="605.26273700000002"/>
    <n v="17855.2507415"/>
    <n v="720.88704468984997"/>
    <n v="1.1910315977205945"/>
    <n v="6106.7312176305659"/>
    <n v="23961.981959130564"/>
    <n v="390613.2221413643"/>
    <n v="7829.5692655381381"/>
    <n v="31791.551224668703"/>
    <n v="52.525208114156058"/>
  </r>
  <r>
    <s v="045195"/>
    <s v="Amherst Exempted Village"/>
    <s v="Lorain"/>
    <x v="1"/>
    <n v="1"/>
    <x v="10"/>
    <n v="3550.2959460000002"/>
    <n v="104733.73040700001"/>
    <n v="4116.6100628701997"/>
    <n v="1.1595118056308085"/>
    <n v="29910.043705971704"/>
    <n v="134643.7741129717"/>
    <n v="1421981.0511808197"/>
    <n v="28502.617175804939"/>
    <n v="163146.39128877665"/>
    <n v="45.952899073833052"/>
  </r>
  <r>
    <s v="048124"/>
    <s v="Avon Lake City"/>
    <s v="Lorain"/>
    <x v="1"/>
    <n v="1"/>
    <x v="11"/>
    <n v="3767.828794"/>
    <n v="111150.949423"/>
    <n v="4348.6529916394902"/>
    <n v="1.1541535535171905"/>
    <n v="30676.39781415675"/>
    <n v="141827.34723715676"/>
    <n v="1717171.5670140181"/>
    <n v="34419.504928799441"/>
    <n v="176246.8521659562"/>
    <n v="46.776767682920415"/>
  </r>
  <r>
    <s v="048116"/>
    <s v="Avon Local"/>
    <s v="Lorain"/>
    <x v="1"/>
    <n v="1"/>
    <x v="11"/>
    <n v="4321.0042679999997"/>
    <n v="127469.62590599999"/>
    <n v="4904.7425992393901"/>
    <n v="1.1350932086696541"/>
    <n v="30830.308622207529"/>
    <n v="158299.93452820752"/>
    <n v="1745065.9952229452"/>
    <n v="34978.629263063107"/>
    <n v="193278.56379127063"/>
    <n v="44.730009924459218"/>
  </r>
  <r>
    <s v="048132"/>
    <s v="Clearview Local"/>
    <s v="Lorain"/>
    <x v="1"/>
    <n v="1"/>
    <x v="6"/>
    <n v="1624.2702469999999"/>
    <n v="47915.9722865"/>
    <n v="2130.0349165325702"/>
    <n v="1.3113796306167087"/>
    <n v="26712.107150461085"/>
    <n v="74628.079436961081"/>
    <n v="487945.47845033865"/>
    <n v="9780.52637437464"/>
    <n v="84408.605811335729"/>
    <n v="51.967094741307378"/>
  </r>
  <r>
    <s v="048140"/>
    <s v="Columbia Local"/>
    <s v="Lorain"/>
    <x v="1"/>
    <n v="1"/>
    <x v="7"/>
    <n v="829.974468"/>
    <n v="24484.246805999999"/>
    <n v="934.30257541737501"/>
    <n v="1.125700381686169"/>
    <n v="5510.1191364618817"/>
    <n v="29994.365942461882"/>
    <n v="546495.31970693299"/>
    <n v="10954.117055948815"/>
    <n v="40948.482998410698"/>
    <n v="49.337039363493645"/>
  </r>
  <r>
    <s v="132969"/>
    <s v="Constellation Schools: Elyria Community"/>
    <s v="Lorain"/>
    <x v="4"/>
    <n v="1"/>
    <x v="8"/>
    <n v="487.753421"/>
    <n v="14388.725919500001"/>
    <n v="581.08512781227205"/>
    <n v="1.1913501839124405"/>
    <n v="4929.3410613456854"/>
    <n v="19318.066980845688"/>
    <n v="0"/>
    <n v="0"/>
    <n v="19318.066980845688"/>
    <n v="39.606215249581382"/>
  </r>
  <r>
    <s v="132951"/>
    <s v="Constellation Schools: Lorain Community Elementary"/>
    <s v="Lorain"/>
    <x v="4"/>
    <n v="1"/>
    <x v="8"/>
    <n v="182.17246499999999"/>
    <n v="5374.0877174999996"/>
    <n v="248.68319680353599"/>
    <n v="1.3650976112308522"/>
    <n v="3512.7835169538698"/>
    <n v="8886.871234453869"/>
    <n v="0"/>
    <n v="0"/>
    <n v="8886.871234453869"/>
    <n v="48.782735823736424"/>
  </r>
  <r>
    <s v="000320"/>
    <s v="Constellation Schools: Lorain Community Middle"/>
    <s v="Lorain"/>
    <x v="4"/>
    <n v="1"/>
    <x v="8"/>
    <n v="131.834396"/>
    <n v="3889.1146819999999"/>
    <n v="174.76029216253301"/>
    <n v="1.3256046787860507"/>
    <n v="2267.1436082771029"/>
    <n v="6156.2582902771028"/>
    <n v="0"/>
    <n v="0"/>
    <n v="6156.2582902771028"/>
    <n v="46.69690518608742"/>
  </r>
  <r>
    <s v="052969"/>
    <s v="Elyria Catholic"/>
    <s v="Lorain"/>
    <x v="0"/>
    <n v="1"/>
    <x v="0"/>
    <n v="417"/>
    <n v="12301.5"/>
    <n v="446.90900000000005"/>
    <n v="1.0717242206235014"/>
    <n v="1579.6524765194026"/>
    <n v="13881.152476519403"/>
    <n v="0"/>
    <n v="0"/>
    <n v="13881.152476519403"/>
    <n v="33.288135435298329"/>
  </r>
  <r>
    <s v="043943"/>
    <s v="Elyria City Schools"/>
    <s v="Lorain"/>
    <x v="1"/>
    <n v="1"/>
    <x v="9"/>
    <n v="6053.102355"/>
    <n v="178566.51947249999"/>
    <n v="7966.5234478207203"/>
    <n v="1.3161058545854905"/>
    <n v="101057.88785645484"/>
    <n v="279624.40732895484"/>
    <n v="1983792.3601152895"/>
    <n v="39763.732540387136"/>
    <n v="319388.13986934198"/>
    <n v="52.764371249318145"/>
  </r>
  <r>
    <s v="048157"/>
    <s v="Firelands Local"/>
    <s v="Lorain"/>
    <x v="1"/>
    <n v="1"/>
    <x v="7"/>
    <n v="1606.076793"/>
    <n v="47379.265393499998"/>
    <n v="1885.00968146114"/>
    <n v="1.1736734443065575"/>
    <n v="14731.921095334161"/>
    <n v="62111.186488834159"/>
    <n v="1691158.5911568215"/>
    <n v="33898.092993073973"/>
    <n v="96009.279481908132"/>
    <n v="59.778760206460525"/>
  </r>
  <r>
    <s v="070136"/>
    <s v="First Baptist Christian"/>
    <s v="Lorain"/>
    <x v="0"/>
    <n v="1"/>
    <x v="0"/>
    <n v="120"/>
    <n v="3540"/>
    <n v="120"/>
    <n v="1"/>
    <n v="0"/>
    <n v="3540"/>
    <n v="0"/>
    <n v="0"/>
    <n v="3540"/>
    <n v="29.5"/>
  </r>
  <r>
    <s v="057133"/>
    <s v="Holy Trinity"/>
    <s v="Lorain"/>
    <x v="0"/>
    <n v="1"/>
    <x v="0"/>
    <n v="476"/>
    <n v="14042"/>
    <n v="501.07159999999999"/>
    <n v="1.0526714285714285"/>
    <n v="1324.1637978636456"/>
    <n v="15366.163797863646"/>
    <n v="0"/>
    <n v="0"/>
    <n v="15366.163797863646"/>
    <n v="32.281856718200935"/>
  </r>
  <r>
    <s v="011533"/>
    <s v="Horizon Science Academy Lorain"/>
    <s v="Lorain"/>
    <x v="4"/>
    <n v="1"/>
    <x v="8"/>
    <n v="714.40942700000005"/>
    <n v="21075.078096500001"/>
    <n v="950.74250417924998"/>
    <n v="1.3308090126577374"/>
    <n v="12481.999754242959"/>
    <n v="33557.077850742964"/>
    <n v="0"/>
    <n v="0"/>
    <n v="33557.077850742964"/>
    <n v="46.971773583193439"/>
  </r>
  <r>
    <s v="048165"/>
    <s v="Keystone Local"/>
    <s v="Lorain"/>
    <x v="1"/>
    <n v="1"/>
    <x v="7"/>
    <n v="1450.3526710000001"/>
    <n v="42785.403794500002"/>
    <n v="1654.6947508518699"/>
    <n v="1.1408913045342126"/>
    <n v="10792.385987332615"/>
    <n v="53577.789781832616"/>
    <n v="1057472.8334048491"/>
    <n v="21196.30449317391"/>
    <n v="74774.09427500653"/>
    <n v="51.555801406185381"/>
  </r>
  <r>
    <s v="062471"/>
    <s v="Lake Ridge Academy"/>
    <s v="Lorain"/>
    <x v="0"/>
    <n v="1"/>
    <x v="0"/>
    <n v="417"/>
    <n v="12301.5"/>
    <n v="417"/>
    <n v="1"/>
    <n v="0"/>
    <n v="12301.5"/>
    <n v="0"/>
    <n v="0"/>
    <n v="12301.5"/>
    <n v="29.5"/>
  </r>
  <r>
    <s v="116616"/>
    <s v="Le Chaperon Rouge-Avon"/>
    <s v="Lorain"/>
    <x v="0"/>
    <n v="1"/>
    <x v="0"/>
    <n v="8"/>
    <n v="236"/>
    <n v="8"/>
    <n v="1"/>
    <n v="0"/>
    <n v="236"/>
    <n v="0"/>
    <n v="0"/>
    <n v="236"/>
    <n v="29.5"/>
  </r>
  <r>
    <s v="142919"/>
    <s v="Life Skills Center of Elyria"/>
    <s v="Lorain"/>
    <x v="4"/>
    <n v="1"/>
    <x v="8"/>
    <n v="134.45110199999999"/>
    <n v="3966.3075089999998"/>
    <n v="208.21781773886599"/>
    <n v="1.5486508823026679"/>
    <n v="3896.0104049484198"/>
    <n v="7862.31791394842"/>
    <n v="0"/>
    <n v="0"/>
    <n v="7862.31791394842"/>
    <n v="58.477154868901117"/>
  </r>
  <r>
    <s v="017270"/>
    <s v="Lorain Bilingual Preparatory Academy"/>
    <s v="Lorain"/>
    <x v="4"/>
    <n v="1"/>
    <x v="8"/>
    <n v="103.793446"/>
    <n v="3061.906657"/>
    <n v="128.512235621011"/>
    <n v="1.2381536655118957"/>
    <n v="1305.5300157608767"/>
    <n v="4367.4366727608767"/>
    <n v="0"/>
    <n v="0"/>
    <n v="4367.4366727608767"/>
    <n v="42.07815465304887"/>
  </r>
  <r>
    <s v="044263"/>
    <s v="Lorain City"/>
    <s v="Lorain"/>
    <x v="1"/>
    <n v="1"/>
    <x v="9"/>
    <n v="6390.6503130000001"/>
    <n v="188524.18423350001"/>
    <n v="9301.2491480906301"/>
    <n v="1.4554464244694827"/>
    <n v="153724.11842607224"/>
    <n v="342248.30265957222"/>
    <n v="1155439.4681349809"/>
    <n v="23159.977274464574"/>
    <n v="365408.27993403678"/>
    <n v="57.178575268109306"/>
  </r>
  <r>
    <n v="66092"/>
    <s v="Lorain County Board of DD"/>
    <s v="Lorain"/>
    <x v="2"/>
    <n v="1"/>
    <x v="2"/>
    <n v="138.81"/>
    <n v="4094.895"/>
    <n v="619.20486900000003"/>
    <n v="4.4608087961962397"/>
    <n v="25372.193805311541"/>
    <n v="29467.088805311541"/>
    <n v="0"/>
    <n v="0"/>
    <n v="29467.088805311541"/>
    <n v="212.28361649241077"/>
  </r>
  <r>
    <s v="051227"/>
    <s v="Lorain County JVS"/>
    <s v="Lorain"/>
    <x v="3"/>
    <n v="1"/>
    <x v="4"/>
    <n v="1014.8938470000001"/>
    <n v="29939.368486500003"/>
    <n v="1377.33890906798"/>
    <n v="1.3571260808599424"/>
    <n v="19142.640673306101"/>
    <n v="49082.009159806104"/>
    <n v="0"/>
    <n v="0"/>
    <n v="49082.009159806104"/>
    <n v="48.361717144006001"/>
  </r>
  <r>
    <s v="008000"/>
    <s v="Lorain Preparatory Academy"/>
    <s v="Lorain"/>
    <x v="4"/>
    <n v="1"/>
    <x v="8"/>
    <n v="519.52760499999999"/>
    <n v="15326.0643475"/>
    <n v="692.076220755127"/>
    <n v="1.3321259815541986"/>
    <n v="9113.2049950710734"/>
    <n v="24439.269342571075"/>
    <n v="0"/>
    <n v="0"/>
    <n v="24439.269342571075"/>
    <n v="47.041329675967987"/>
  </r>
  <r>
    <s v="048173"/>
    <s v="Midview Local"/>
    <s v="Lorain"/>
    <x v="1"/>
    <n v="1"/>
    <x v="7"/>
    <n v="2889.592478"/>
    <n v="85242.978101000001"/>
    <n v="3374.3435042063502"/>
    <n v="1.1677575747781104"/>
    <n v="25602.26550677661"/>
    <n v="110845.24360777662"/>
    <n v="1583532.6298479515"/>
    <n v="31740.80575579514"/>
    <n v="142586.04936357174"/>
    <n v="49.344691491673984"/>
  </r>
  <r>
    <s v="044537"/>
    <s v="North Ridgeville City"/>
    <s v="Lorain"/>
    <x v="1"/>
    <n v="1"/>
    <x v="10"/>
    <n v="4328.6900169999999"/>
    <n v="127696.3555015"/>
    <n v="5164.8801778663601"/>
    <n v="1.1931739527622451"/>
    <n v="44163.624944120551"/>
    <n v="171859.98044562055"/>
    <n v="2307552.5814227615"/>
    <n v="46253.28008887083"/>
    <n v="218113.26053449139"/>
    <n v="50.387821645324202"/>
  </r>
  <r>
    <s v="016431"/>
    <s v="Northern Ohio Adventist Academy"/>
    <s v="Lorain"/>
    <x v="0"/>
    <n v="1"/>
    <x v="0"/>
    <n v="22"/>
    <n v="649"/>
    <n v="24"/>
    <n v="1.0909090909090908"/>
    <n v="105.63057785411749"/>
    <n v="754.63057785411752"/>
    <n v="0"/>
    <n v="0"/>
    <n v="754.63057785411752"/>
    <n v="34.301389902459889"/>
  </r>
  <r>
    <s v="044594"/>
    <s v="Oberlin City Schools"/>
    <s v="Lorain"/>
    <x v="1"/>
    <n v="1"/>
    <x v="10"/>
    <n v="969.46266500000002"/>
    <n v="28599.148617499999"/>
    <n v="1249.2852954183099"/>
    <n v="1.2886368299890227"/>
    <n v="14778.913073872616"/>
    <n v="43378.061691372612"/>
    <n v="286320.32755383413"/>
    <n v="5739.0910231477255"/>
    <n v="49117.152714520336"/>
    <n v="50.664305586765771"/>
  </r>
  <r>
    <s v="090274"/>
    <s v="Open Door Christian Schools"/>
    <s v="Lorain"/>
    <x v="0"/>
    <n v="1"/>
    <x v="0"/>
    <n v="490"/>
    <n v="14455"/>
    <n v="509.17239999999998"/>
    <n v="1.0391273469387754"/>
    <n v="1012.5958454251403"/>
    <n v="15467.595845425139"/>
    <n v="0"/>
    <n v="0"/>
    <n v="15467.595845425139"/>
    <n v="31.566522133520692"/>
  </r>
  <r>
    <s v="044768"/>
    <s v="Sheffield-Sheffield Lake City"/>
    <s v="Lorain"/>
    <x v="1"/>
    <n v="1"/>
    <x v="6"/>
    <n v="1638.690245"/>
    <n v="48341.362227500002"/>
    <n v="2022.25684237068"/>
    <n v="1.234069006354938"/>
    <n v="20258.180662901279"/>
    <n v="68599.542890401281"/>
    <n v="1162037.2127127978"/>
    <n v="23292.224457202414"/>
    <n v="91891.767347603687"/>
    <n v="56.076349772622031"/>
  </r>
  <r>
    <s v="014110"/>
    <s v="Spectrum Resource Center and School"/>
    <s v="Lorain"/>
    <x v="0"/>
    <n v="1"/>
    <x v="0"/>
    <n v="208"/>
    <n v="6136"/>
    <n v="302.71320000000003"/>
    <n v="1.4553519230769232"/>
    <n v="5002.3050232063024"/>
    <n v="11138.305023206303"/>
    <n v="0"/>
    <n v="0"/>
    <n v="11138.305023206303"/>
    <n v="53.549543380799534"/>
  </r>
  <r>
    <s v="057356"/>
    <s v="St Anthony Of Padua"/>
    <s v="Lorain"/>
    <x v="0"/>
    <n v="1"/>
    <x v="0"/>
    <n v="216"/>
    <n v="6372"/>
    <n v="236.4862"/>
    <n v="1.0948435185185186"/>
    <n v="1081.9845720175108"/>
    <n v="7453.9845720175108"/>
    <n v="0"/>
    <n v="0"/>
    <n v="7453.9845720175108"/>
    <n v="34.509187833414401"/>
  </r>
  <r>
    <s v="057158"/>
    <s v="St Joseph"/>
    <s v="Lorain"/>
    <x v="0"/>
    <n v="1"/>
    <x v="0"/>
    <n v="224"/>
    <n v="6608"/>
    <n v="230.63659999999999"/>
    <n v="1.0296276785714285"/>
    <n v="350.51394649331741"/>
    <n v="6958.5139464933172"/>
    <n v="0"/>
    <n v="0"/>
    <n v="6958.5139464933172"/>
    <n v="31.064794403988024"/>
  </r>
  <r>
    <s v="057117"/>
    <s v="St Joseph"/>
    <s v="Lorain"/>
    <x v="0"/>
    <n v="1"/>
    <x v="0"/>
    <n v="157"/>
    <n v="4631.5"/>
    <n v="168.68619999999999"/>
    <n v="1.0744343949044586"/>
    <n v="617.21002945939324"/>
    <n v="5248.7100294593929"/>
    <n v="0"/>
    <n v="0"/>
    <n v="5248.7100294593929"/>
    <n v="33.431274072989766"/>
  </r>
  <r>
    <s v="057299"/>
    <s v="St Jude"/>
    <s v="Lorain"/>
    <x v="0"/>
    <n v="1"/>
    <x v="0"/>
    <n v="434"/>
    <n v="12803"/>
    <n v="480.66919999999999"/>
    <n v="1.1075327188940092"/>
    <n v="2464.8472819946896"/>
    <n v="15267.847281994689"/>
    <n v="0"/>
    <n v="0"/>
    <n v="15267.847281994689"/>
    <n v="35.179371617499285"/>
  </r>
  <r>
    <s v="057307"/>
    <s v="St Mary"/>
    <s v="Lorain"/>
    <x v="0"/>
    <n v="1"/>
    <x v="0"/>
    <n v="136"/>
    <n v="4012"/>
    <n v="151.81139999999999"/>
    <n v="1.1162602941176469"/>
    <n v="835.0836593412962"/>
    <n v="4847.083659341296"/>
    <n v="0"/>
    <n v="0"/>
    <n v="4847.083659341296"/>
    <n v="35.640321024568351"/>
  </r>
  <r>
    <s v="057141"/>
    <s v="St Mary Immaculate Conception"/>
    <s v="Lorain"/>
    <x v="0"/>
    <n v="1"/>
    <x v="0"/>
    <n v="170"/>
    <n v="5015"/>
    <n v="179.5488"/>
    <n v="1.0561694117647058"/>
    <n v="504.32263090669858"/>
    <n v="5519.3226309066986"/>
    <n v="0"/>
    <n v="0"/>
    <n v="5519.3226309066986"/>
    <n v="32.466603711215875"/>
  </r>
  <r>
    <s v="057406"/>
    <s v="St Peter"/>
    <s v="Lorain"/>
    <x v="0"/>
    <n v="1"/>
    <x v="0"/>
    <n v="313"/>
    <n v="9233.5"/>
    <n v="338.8732"/>
    <n v="1.082661980830671"/>
    <n v="1366.5005334675764"/>
    <n v="10600.000533467577"/>
    <n v="0"/>
    <n v="0"/>
    <n v="10600.000533467577"/>
    <n v="33.865816400854875"/>
  </r>
  <r>
    <s v="057463"/>
    <s v="St Peter"/>
    <s v="Lorain"/>
    <x v="0"/>
    <n v="1"/>
    <x v="0"/>
    <n v="191"/>
    <n v="5634.5"/>
    <n v="202.56100000000001"/>
    <n v="1.0605287958115184"/>
    <n v="610.59755528572657"/>
    <n v="6245.0975552857262"/>
    <n v="0"/>
    <n v="0"/>
    <n v="6245.0975552857262"/>
    <n v="32.696845839192285"/>
  </r>
  <r>
    <s v="133322"/>
    <s v="Summit Academy Community School Alternative Learners-Lorain"/>
    <s v="Lorain"/>
    <x v="4"/>
    <n v="1"/>
    <x v="8"/>
    <n v="95.493976000000004"/>
    <n v="2817.0722920000003"/>
    <n v="252.37864614721201"/>
    <n v="2.6428750453035068"/>
    <n v="8285.9091820513095"/>
    <n v="11102.98147405131"/>
    <n v="0"/>
    <n v="0"/>
    <n v="11102.98147405131"/>
    <n v="116.26892018875944"/>
  </r>
  <r>
    <s v="000609"/>
    <s v="Summit Academy School - Lorain"/>
    <s v="Lorain"/>
    <x v="4"/>
    <n v="1"/>
    <x v="8"/>
    <n v="113.90347800000001"/>
    <n v="3360.1526010000002"/>
    <n v="304.93613190281201"/>
    <n v="2.6771450464647972"/>
    <n v="10089.444810379833"/>
    <n v="13449.597411379833"/>
    <n v="0"/>
    <n v="0"/>
    <n v="13449.597411379833"/>
    <n v="118.07890020162363"/>
  </r>
  <r>
    <s v="045658"/>
    <s v="Wellington Exempted Village"/>
    <s v="Lorain"/>
    <x v="1"/>
    <n v="1"/>
    <x v="7"/>
    <n v="999.87769500000002"/>
    <n v="29496.392002500001"/>
    <n v="1205.7386409958799"/>
    <n v="1.2058861268986303"/>
    <n v="10872.605341570035"/>
    <n v="40368.997344070034"/>
    <n v="570626.53112195805"/>
    <n v="11437.810337501138"/>
    <n v="51806.807681571168"/>
    <n v="51.813144688232263"/>
  </r>
  <r>
    <s v="019206"/>
    <s v="565 Academy"/>
    <s v="Lucas"/>
    <x v="0"/>
    <n v="1"/>
    <x v="0"/>
    <n v="7"/>
    <n v="206.5"/>
    <n v="7"/>
    <n v="1"/>
    <n v="0"/>
    <n v="206.5"/>
    <n v="0"/>
    <n v="0"/>
    <n v="206.5"/>
    <n v="29.5"/>
  </r>
  <r>
    <s v="013195"/>
    <s v="Academy of Educational Excellence"/>
    <s v="Lucas"/>
    <x v="4"/>
    <n v="1"/>
    <x v="8"/>
    <n v="137.17065700000001"/>
    <n v="4046.5343815000001"/>
    <n v="180.131415739685"/>
    <n v="1.3131920461654201"/>
    <n v="2268.9848853621274"/>
    <n v="6315.5192668621276"/>
    <n v="69764.25"/>
    <n v="1398.3756736110656"/>
    <n v="7713.8949404731929"/>
    <n v="56.235751210794248"/>
  </r>
  <r>
    <s v="011507"/>
    <s v="Achieve Career Preparatory Academy"/>
    <s v="Lucas"/>
    <x v="4"/>
    <n v="1"/>
    <x v="8"/>
    <n v="144.58327199999999"/>
    <n v="4265.2065240000002"/>
    <n v="223.567082576263"/>
    <n v="1.546285953303526"/>
    <n v="4171.5527761454096"/>
    <n v="8436.7593001454097"/>
    <n v="0"/>
    <n v="0"/>
    <n v="8436.7593001454097"/>
    <n v="58.352250460519457"/>
  </r>
  <r>
    <s v="048207"/>
    <s v="Anthony Wayne Local"/>
    <s v="Lucas"/>
    <x v="1"/>
    <n v="1"/>
    <x v="10"/>
    <n v="4010.575421"/>
    <n v="118311.9749195"/>
    <n v="4631.10141570013"/>
    <n v="1.1547224349530889"/>
    <n v="32773.259696837893"/>
    <n v="151085.2346163379"/>
    <n v="2704280.7926872219"/>
    <n v="54205.420041173806"/>
    <n v="205290.65465751171"/>
    <n v="51.187331768548162"/>
  </r>
  <r>
    <s v="134122"/>
    <s v="Autism Model School"/>
    <s v="Lucas"/>
    <x v="4"/>
    <n v="1"/>
    <x v="8"/>
    <n v="107.41034000000001"/>
    <n v="3168.6050300000002"/>
    <n v="593.61639475591596"/>
    <n v="5.5266224346363293"/>
    <n v="25679.113260019043"/>
    <n v="28847.718290019042"/>
    <n v="0"/>
    <n v="0"/>
    <n v="28847.718290019042"/>
    <n v="268.57487174902377"/>
  </r>
  <r>
    <s v="000843"/>
    <s v="Bennett Venture Academy"/>
    <s v="Lucas"/>
    <x v="4"/>
    <n v="1"/>
    <x v="8"/>
    <n v="677.38704299999995"/>
    <n v="19982.9177685"/>
    <n v="929.77067934748698"/>
    <n v="1.37258409199818"/>
    <n v="13329.714674154253"/>
    <n v="33312.632442654256"/>
    <n v="0"/>
    <n v="0"/>
    <n v="33312.632442654256"/>
    <n v="49.178136468509713"/>
  </r>
  <r>
    <s v="058487"/>
    <s v="Blessed Sacrament"/>
    <s v="Lucas"/>
    <x v="0"/>
    <n v="1"/>
    <x v="0"/>
    <n v="229"/>
    <n v="6755.5"/>
    <n v="257.96019999999999"/>
    <n v="1.1264637554585153"/>
    <n v="1529.5413303854061"/>
    <n v="8285.0413303854057"/>
    <n v="0"/>
    <n v="0"/>
    <n v="8285.0413303854057"/>
    <n v="36.179219783342383"/>
  </r>
  <r>
    <s v="052795"/>
    <s v="Cardinal Stritch Catholic High School &amp; Academy"/>
    <s v="Lucas"/>
    <x v="0"/>
    <n v="1"/>
    <x v="0"/>
    <n v="472"/>
    <n v="13924"/>
    <n v="517.52120000000002"/>
    <n v="1.0964432203389831"/>
    <n v="2404.2153303064279"/>
    <n v="16328.215330306428"/>
    <n v="0"/>
    <n v="0"/>
    <n v="16328.215330306428"/>
    <n v="34.593676547259378"/>
  </r>
  <r>
    <s v="058693"/>
    <s v="CCMT Catholic School"/>
    <s v="Lucas"/>
    <x v="0"/>
    <n v="1"/>
    <x v="0"/>
    <n v="320"/>
    <n v="9440"/>
    <n v="384.27640000000002"/>
    <n v="1.2008637500000001"/>
    <n v="3394.7766371912003"/>
    <n v="12834.7766371912"/>
    <n v="0"/>
    <n v="0"/>
    <n v="12834.7766371912"/>
    <n v="40.108676991222502"/>
  </r>
  <r>
    <s v="009164"/>
    <s v="Central Academy of Ohio"/>
    <s v="Lucas"/>
    <x v="4"/>
    <n v="1"/>
    <x v="8"/>
    <n v="121.020808"/>
    <n v="3570.113836"/>
    <n v="154.811550911095"/>
    <n v="1.279214322474983"/>
    <n v="1784.6678499094444"/>
    <n v="5354.7816859094446"/>
    <n v="35016.480000000003"/>
    <n v="701.88088895800365"/>
    <n v="6056.6625748674487"/>
    <n v="50.046456266160845"/>
  </r>
  <r>
    <s v="052852"/>
    <s v="Central Catholic"/>
    <s v="Lucas"/>
    <x v="0"/>
    <n v="1"/>
    <x v="0"/>
    <n v="554"/>
    <n v="16343"/>
    <n v="593.65940000000001"/>
    <n v="1.0715873646209386"/>
    <n v="2094.622669673794"/>
    <n v="18437.622669673794"/>
    <n v="0"/>
    <n v="0"/>
    <n v="18437.622669673794"/>
    <n v="33.280907345981575"/>
  </r>
  <r>
    <s v="058495"/>
    <s v="Christ The King"/>
    <s v="Lucas"/>
    <x v="0"/>
    <n v="1"/>
    <x v="0"/>
    <n v="366"/>
    <n v="10797"/>
    <n v="382.8236"/>
    <n v="1.0459661202185793"/>
    <n v="888.54329479326543"/>
    <n v="11685.543294793266"/>
    <n v="0"/>
    <n v="0"/>
    <n v="11685.543294793266"/>
    <n v="31.92771392020018"/>
  </r>
  <r>
    <s v="014188"/>
    <s v="Discovery Academy"/>
    <s v="Lucas"/>
    <x v="4"/>
    <n v="1"/>
    <x v="8"/>
    <n v="341.48340400000001"/>
    <n v="10073.760418"/>
    <n v="527.281440357983"/>
    <n v="1.5440909695218541"/>
    <n v="9812.9769723270383"/>
    <n v="19886.737390327038"/>
    <n v="146095.78"/>
    <n v="2928.3878887715991"/>
    <n v="22815.125279098636"/>
    <n v="66.811812849032734"/>
  </r>
  <r>
    <s v="013208"/>
    <s v="Discovery Express School"/>
    <s v="Lucas"/>
    <x v="0"/>
    <n v="1"/>
    <x v="0"/>
    <n v="37"/>
    <n v="1091.5"/>
    <n v="37"/>
    <n v="1"/>
    <n v="0"/>
    <n v="1091.5"/>
    <n v="0"/>
    <n v="0"/>
    <n v="1091.5"/>
    <n v="29.5"/>
  </r>
  <r>
    <s v="008972"/>
    <s v="Discovery Express School"/>
    <s v="Lucas"/>
    <x v="0"/>
    <n v="1"/>
    <x v="0"/>
    <n v="12"/>
    <n v="354"/>
    <n v="12"/>
    <n v="1"/>
    <n v="0"/>
    <n v="354"/>
    <n v="0"/>
    <n v="0"/>
    <n v="354"/>
    <n v="29.5"/>
  </r>
  <r>
    <s v="008289"/>
    <s v="Eagle Learning Center"/>
    <s v="Lucas"/>
    <x v="4"/>
    <n v="1"/>
    <x v="8"/>
    <n v="71.478147000000007"/>
    <n v="2108.6053365000002"/>
    <n v="89.025740592145297"/>
    <n v="1.2454959218814847"/>
    <n v="926.78122554375818"/>
    <n v="3035.3865620437582"/>
    <n v="0"/>
    <n v="0"/>
    <n v="3035.3865620437582"/>
    <n v="42.465938044585265"/>
  </r>
  <r>
    <s v="132530"/>
    <s v="Emmanuel  Christian School"/>
    <s v="Lucas"/>
    <x v="0"/>
    <n v="1"/>
    <x v="0"/>
    <n v="474"/>
    <n v="13983"/>
    <n v="490.22280000000001"/>
    <n v="1.0342253164556963"/>
    <n v="856.81186920588902"/>
    <n v="14839.811869205889"/>
    <n v="0"/>
    <n v="0"/>
    <n v="14839.811869205889"/>
    <n v="31.307619977227613"/>
  </r>
  <r>
    <s v="058503"/>
    <s v="Gesu"/>
    <s v="Lucas"/>
    <x v="0"/>
    <n v="1"/>
    <x v="0"/>
    <n v="334"/>
    <n v="9853"/>
    <n v="370.28620000000001"/>
    <n v="1.1086413173652694"/>
    <n v="1916.4661370650394"/>
    <n v="11769.466137065039"/>
    <n v="0"/>
    <n v="0"/>
    <n v="11769.466137065039"/>
    <n v="35.237922566062991"/>
  </r>
  <r>
    <s v="000131"/>
    <s v="Glass City Academy"/>
    <s v="Lucas"/>
    <x v="4"/>
    <n v="1"/>
    <x v="8"/>
    <n v="199.01086599999999"/>
    <n v="5870.8205469999994"/>
    <n v="267.21612813013797"/>
    <n v="1.3427212970880593"/>
    <n v="3602.2806257490161"/>
    <n v="9473.1011727490149"/>
    <n v="0"/>
    <n v="0"/>
    <n v="9473.1011727490149"/>
    <n v="47.60092432716219"/>
  </r>
  <r>
    <s v="014091"/>
    <s v="Hope Learning Academy of Toledo"/>
    <s v="Lucas"/>
    <x v="4"/>
    <n v="1"/>
    <x v="8"/>
    <n v="67.265264999999999"/>
    <n v="1984.3253175"/>
    <n v="151.424811314827"/>
    <n v="2.2511590687233149"/>
    <n v="4444.9107545877705"/>
    <n v="6429.2360720877705"/>
    <n v="0"/>
    <n v="0"/>
    <n v="6429.2360720877705"/>
    <n v="95.580327708331637"/>
  </r>
  <r>
    <s v="000338"/>
    <s v="Horizon Science Academy Toledo"/>
    <s v="Lucas"/>
    <x v="4"/>
    <n v="1"/>
    <x v="8"/>
    <n v="528.91477899999995"/>
    <n v="15602.985980499998"/>
    <n v="713.90009997989296"/>
    <n v="1.3497450408355729"/>
    <n v="9770.0531748177509"/>
    <n v="25373.039155317747"/>
    <n v="221042.94"/>
    <n v="4430.6513740127693"/>
    <n v="29803.690529330517"/>
    <n v="56.348757328504369"/>
  </r>
  <r>
    <s v="000825"/>
    <s v="Horizon Science Academy-Springfield"/>
    <s v="Lucas"/>
    <x v="4"/>
    <n v="1"/>
    <x v="8"/>
    <n v="364.34658899999999"/>
    <n v="10748.2243755"/>
    <n v="470.58480141211402"/>
    <n v="1.2915855825731746"/>
    <n v="5611.0018836400413"/>
    <n v="16359.226259140041"/>
    <n v="169454.97"/>
    <n v="3396.606540176278"/>
    <n v="19755.832799316318"/>
    <n v="54.222636895102973"/>
  </r>
  <r>
    <s v="015736"/>
    <s v="iLEAD Spring Meadows"/>
    <s v="Lucas"/>
    <x v="4"/>
    <n v="1"/>
    <x v="8"/>
    <n v="200.287881"/>
    <n v="5908.4924895000004"/>
    <n v="269.89057852166098"/>
    <n v="1.347513275262326"/>
    <n v="3676.086579709201"/>
    <n v="9584.5790692092014"/>
    <n v="0"/>
    <n v="0"/>
    <n v="9584.5790692092014"/>
    <n v="47.854014038968245"/>
  </r>
  <r>
    <s v="013173"/>
    <s v="Imagine Hill Avenue"/>
    <s v="Lucas"/>
    <x v="4"/>
    <n v="1"/>
    <x v="8"/>
    <n v="127.895346"/>
    <n v="3772.912707"/>
    <n v="170.23320341037399"/>
    <n v="1.3310351684757473"/>
    <n v="2236.0861716815175"/>
    <n v="6008.9988786815175"/>
    <n v="36187.019999999997"/>
    <n v="725.34354584872756"/>
    <n v="6734.3424245302449"/>
    <n v="52.655101496267463"/>
  </r>
  <r>
    <s v="017536"/>
    <s v="Kenmore Preparatory Academy dba Toledo Preparatory Academy"/>
    <s v="Lucas"/>
    <x v="4"/>
    <n v="1"/>
    <x v="8"/>
    <n v="245.24999999999997"/>
    <n v="7234.8749999999991"/>
    <n v="302.17935799999998"/>
    <n v="1.2321278613659532"/>
    <n v="3006.7404912019638"/>
    <n v="10241.615491201963"/>
    <n v="0"/>
    <n v="0"/>
    <n v="10241.615491201963"/>
    <n v="41.759900066063054"/>
  </r>
  <r>
    <s v="010205"/>
    <s v="L. Hollingworth School for Talented and Gifted"/>
    <s v="Lucas"/>
    <x v="4"/>
    <n v="1"/>
    <x v="8"/>
    <n v="340.37736100000001"/>
    <n v="10041.132149500001"/>
    <n v="421.27659409985898"/>
    <n v="1.2376751287517591"/>
    <n v="4272.7163701465261"/>
    <n v="14313.848519646526"/>
    <n v="0"/>
    <n v="0"/>
    <n v="14313.848519646526"/>
    <n v="42.05288059580004"/>
  </r>
  <r>
    <s v="068031"/>
    <s v="Lial Catholic School"/>
    <s v="Lucas"/>
    <x v="0"/>
    <n v="1"/>
    <x v="0"/>
    <n v="208"/>
    <n v="6136"/>
    <n v="219.5488"/>
    <n v="1.055523076923077"/>
    <n v="609.9532087608161"/>
    <n v="6745.9532087608159"/>
    <n v="0"/>
    <n v="0"/>
    <n v="6745.9532087608159"/>
    <n v="32.432467349811617"/>
  </r>
  <r>
    <s v="149302"/>
    <s v="Life Skills Center Of Toledo"/>
    <s v="Lucas"/>
    <x v="4"/>
    <n v="1"/>
    <x v="8"/>
    <n v="133.30109999999999"/>
    <n v="3932.3824499999996"/>
    <n v="192.66248089018899"/>
    <n v="1.4453180123058924"/>
    <n v="3135.1884828245156"/>
    <n v="7067.5709328245157"/>
    <n v="0"/>
    <n v="0"/>
    <n v="7067.5709328245157"/>
    <n v="53.019599484359212"/>
  </r>
  <r>
    <s v="009955"/>
    <s v="Madison Avenue School of Arts"/>
    <s v="Lucas"/>
    <x v="4"/>
    <n v="1"/>
    <x v="8"/>
    <n v="546.18786999999998"/>
    <n v="16112.542164999999"/>
    <n v="713.97451155824695"/>
    <n v="1.3071958400655199"/>
    <n v="8861.6999519996552"/>
    <n v="24974.242116999652"/>
    <n v="174369.41"/>
    <n v="3495.1130581338448"/>
    <n v="28469.355175133496"/>
    <n v="52.123741186587495"/>
  </r>
  <r>
    <s v="000770"/>
    <s v="Maritime Academy of Toledo, The"/>
    <s v="Lucas"/>
    <x v="4"/>
    <n v="1"/>
    <x v="8"/>
    <n v="306.98421200000001"/>
    <n v="9056.0342540000001"/>
    <n v="416.06439438100102"/>
    <n v="1.3553283136951715"/>
    <n v="5761.1013486688316"/>
    <n v="14817.135602668832"/>
    <n v="0"/>
    <n v="0"/>
    <n v="14817.135602668832"/>
    <n v="48.266767551775047"/>
  </r>
  <r>
    <s v="044362"/>
    <s v="Maumee City"/>
    <s v="Lucas"/>
    <x v="1"/>
    <n v="1"/>
    <x v="10"/>
    <n v="2174.8470299999999"/>
    <n v="64157.987385"/>
    <n v="2609.32230108147"/>
    <n v="1.1997727955521866"/>
    <n v="22946.936973830012"/>
    <n v="87104.924358830016"/>
    <n v="1025456.5206150666"/>
    <n v="20554.559860873633"/>
    <n v="107659.48421970365"/>
    <n v="49.502094967894664"/>
  </r>
  <r>
    <s v="060806"/>
    <s v="Maumee Valley Country Day"/>
    <s v="Lucas"/>
    <x v="0"/>
    <n v="1"/>
    <x v="0"/>
    <n v="520"/>
    <n v="15340"/>
    <n v="530.32360000000006"/>
    <n v="1.0198530769230771"/>
    <n v="545.24391676738674"/>
    <n v="15885.243916767387"/>
    <n v="0"/>
    <n v="0"/>
    <n v="15885.243916767387"/>
    <n v="30.548545993783438"/>
  </r>
  <r>
    <s v="009485"/>
    <s v="Monclova Christian School"/>
    <s v="Lucas"/>
    <x v="0"/>
    <n v="1"/>
    <x v="0"/>
    <n v="169"/>
    <n v="4985.5"/>
    <n v="169"/>
    <n v="1"/>
    <n v="0"/>
    <n v="4985.5"/>
    <n v="0"/>
    <n v="0"/>
    <n v="4985.5"/>
    <n v="29.5"/>
  </r>
  <r>
    <s v="053389"/>
    <s v="Notre Dame Academy"/>
    <s v="Lucas"/>
    <x v="0"/>
    <n v="1"/>
    <x v="0"/>
    <n v="593"/>
    <n v="17493.5"/>
    <n v="604.06100000000004"/>
    <n v="1.0186526138279932"/>
    <n v="584.18991082219873"/>
    <n v="18077.689910822199"/>
    <n v="0"/>
    <n v="0"/>
    <n v="18077.689910822199"/>
    <n v="30.485143188570319"/>
  </r>
  <r>
    <n v="17643"/>
    <s v="Ohio Digital Learning School"/>
    <s v="Lucas"/>
    <x v="4"/>
    <n v="1"/>
    <x v="5"/>
    <n v="244.83000000000007"/>
    <n v="1444.4970000000005"/>
    <n v="303.73227700000001"/>
    <n v="1.2405843932524605"/>
    <n v="0"/>
    <n v="1444.4970000000005"/>
    <n v="0"/>
    <n v="0"/>
    <n v="1444.4970000000005"/>
    <n v="5.9"/>
  </r>
  <r>
    <s v="142950"/>
    <s v="Ohio Virtual Academy"/>
    <s v="Lucas"/>
    <x v="4"/>
    <n v="1"/>
    <x v="5"/>
    <n v="12701.670185000001"/>
    <n v="74939.854091500005"/>
    <n v="16570.397078547001"/>
    <n v="1.3045841087982084"/>
    <n v="0"/>
    <n v="74939.854091500005"/>
    <n v="0"/>
    <n v="0"/>
    <n v="74939.854091500005"/>
    <n v="5.9"/>
  </r>
  <r>
    <s v="044602"/>
    <s v="Oregon City"/>
    <s v="Lucas"/>
    <x v="1"/>
    <n v="1"/>
    <x v="6"/>
    <n v="3542.1214319999999"/>
    <n v="104492.58224399999"/>
    <n v="4369.1469370182804"/>
    <n v="1.2334831035285299"/>
    <n v="43679.590997587155"/>
    <n v="148172.17324158715"/>
    <n v="2126591.6675044056"/>
    <n v="42626.044937660074"/>
    <n v="190798.21817924723"/>
    <n v="53.865521507972751"/>
  </r>
  <r>
    <s v="048215"/>
    <s v="Ottawa Hills Local"/>
    <s v="Lucas"/>
    <x v="1"/>
    <n v="1"/>
    <x v="11"/>
    <n v="981.49122399999999"/>
    <n v="28953.991107999998"/>
    <n v="1107.34061651668"/>
    <n v="1.1282226365751795"/>
    <n v="6646.7720270632817"/>
    <n v="35600.76313506328"/>
    <n v="0"/>
    <n v="0"/>
    <n v="35600.76313506328"/>
    <n v="36.272115597707355"/>
  </r>
  <r>
    <s v="058677"/>
    <s v="Our Lady Of Perpetual Help"/>
    <s v="Lucas"/>
    <x v="0"/>
    <n v="1"/>
    <x v="0"/>
    <n v="235"/>
    <n v="6932.5"/>
    <n v="267.39679999999998"/>
    <n v="1.1378587234042552"/>
    <n v="1711.0463523121362"/>
    <n v="8643.5463523121362"/>
    <n v="0"/>
    <n v="0"/>
    <n v="8643.5463523121362"/>
    <n v="36.781048307711217"/>
  </r>
  <r>
    <s v="058685"/>
    <s v="Regina Coeli"/>
    <s v="Lucas"/>
    <x v="0"/>
    <n v="1"/>
    <x v="0"/>
    <n v="180"/>
    <n v="5310"/>
    <n v="209.6472"/>
    <n v="1.1647066666666666"/>
    <n v="1565.8254338782961"/>
    <n v="6875.8254338782963"/>
    <n v="0"/>
    <n v="0"/>
    <n v="6875.8254338782963"/>
    <n v="38.19903018821276"/>
  </r>
  <r>
    <s v="013999"/>
    <s v="Rise &amp; Shine Academy"/>
    <s v="Lucas"/>
    <x v="4"/>
    <n v="1"/>
    <x v="8"/>
    <n v="106.354412"/>
    <n v="3137.4551539999998"/>
    <n v="134.19699438702301"/>
    <n v="1.2617905723273899"/>
    <n v="1470.5140332460576"/>
    <n v="4607.9691872460571"/>
    <n v="0"/>
    <n v="0"/>
    <n v="4607.9691872460571"/>
    <n v="43.326544715851163"/>
  </r>
  <r>
    <s v="048223"/>
    <s v="Springfield Local"/>
    <s v="Lucas"/>
    <x v="1"/>
    <n v="1"/>
    <x v="10"/>
    <n v="3509.1034119999999"/>
    <n v="103518.55065399999"/>
    <n v="4356.8985539632004"/>
    <n v="1.2415987910370538"/>
    <n v="44776.545373743218"/>
    <n v="148295.09602774322"/>
    <n v="2488191.5054253992"/>
    <n v="49874.061177072406"/>
    <n v="198169.15720481562"/>
    <n v="56.472874674237623"/>
  </r>
  <r>
    <s v="058602"/>
    <s v="St Benedict Catholic School"/>
    <s v="Lucas"/>
    <x v="0"/>
    <n v="1"/>
    <x v="0"/>
    <n v="203"/>
    <n v="5988.5"/>
    <n v="222.9358"/>
    <n v="1.0982059113300493"/>
    <n v="1052.9150369920578"/>
    <n v="7041.415036992058"/>
    <n v="0"/>
    <n v="0"/>
    <n v="7041.415036992058"/>
    <n v="34.686773581241667"/>
  </r>
  <r>
    <s v="053595"/>
    <s v="St Francis De Sales School"/>
    <s v="Lucas"/>
    <x v="0"/>
    <n v="1"/>
    <x v="0"/>
    <n v="647"/>
    <n v="19086.5"/>
    <n v="711.89120000000003"/>
    <n v="1.1002955177743432"/>
    <n v="3427.2474768235561"/>
    <n v="22513.747476823555"/>
    <n v="0"/>
    <n v="0"/>
    <n v="22513.747476823555"/>
    <n v="34.797136749340886"/>
  </r>
  <r>
    <s v="053611"/>
    <s v="St Joan Of Arc"/>
    <s v="Lucas"/>
    <x v="0"/>
    <n v="1"/>
    <x v="0"/>
    <n v="320"/>
    <n v="9440"/>
    <n v="342.37239999999997"/>
    <n v="1.06991375"/>
    <n v="1181.6047699917276"/>
    <n v="10621.604769991727"/>
    <n v="0"/>
    <n v="0"/>
    <n v="10621.604769991727"/>
    <n v="33.192514906224147"/>
  </r>
  <r>
    <s v="054015"/>
    <s v="St John's Jesuit"/>
    <s v="Lucas"/>
    <x v="0"/>
    <n v="1"/>
    <x v="0"/>
    <n v="713"/>
    <n v="21033.5"/>
    <n v="753.2586"/>
    <n v="1.0564636746143057"/>
    <n v="2126.2695907988873"/>
    <n v="23159.769590798889"/>
    <n v="0"/>
    <n v="0"/>
    <n v="23159.769590798889"/>
    <n v="32.482145288637994"/>
  </r>
  <r>
    <s v="059105"/>
    <s v="St Joseph"/>
    <s v="Lucas"/>
    <x v="0"/>
    <n v="1"/>
    <x v="0"/>
    <n v="373"/>
    <n v="11003.5"/>
    <n v="400.14640000000003"/>
    <n v="1.0727785522788205"/>
    <n v="1433.7449593295091"/>
    <n v="12437.24495932951"/>
    <n v="0"/>
    <n v="0"/>
    <n v="12437.24495932951"/>
    <n v="33.343820266298955"/>
  </r>
  <r>
    <s v="059089"/>
    <s v="St Joseph"/>
    <s v="Lucas"/>
    <x v="0"/>
    <n v="1"/>
    <x v="0"/>
    <n v="248"/>
    <n v="7316"/>
    <n v="272.9846"/>
    <n v="1.1007443548387097"/>
    <n v="1319.568867726992"/>
    <n v="8635.5688677269918"/>
    <n v="0"/>
    <n v="0"/>
    <n v="8635.5688677269918"/>
    <n v="34.820842208576579"/>
  </r>
  <r>
    <s v="059345"/>
    <s v="St Patrick Of Heatherdowns"/>
    <s v="Lucas"/>
    <x v="0"/>
    <n v="1"/>
    <x v="0"/>
    <n v="294"/>
    <n v="8673"/>
    <n v="313.13659999999999"/>
    <n v="1.0650904761904763"/>
    <n v="1010.7050580815518"/>
    <n v="9683.7050580815521"/>
    <n v="0"/>
    <n v="0"/>
    <n v="9683.7050580815521"/>
    <n v="32.937772306399836"/>
  </r>
  <r>
    <s v="059428"/>
    <s v="St Pius X"/>
    <s v="Lucas"/>
    <x v="0"/>
    <n v="1"/>
    <x v="0"/>
    <n v="158"/>
    <n v="4661"/>
    <n v="176.29840000000002"/>
    <n v="1.1158126582278483"/>
    <n v="966.4352829028926"/>
    <n v="5627.4352829028921"/>
    <n v="0"/>
    <n v="0"/>
    <n v="5627.4352829028921"/>
    <n v="35.616679005714509"/>
  </r>
  <r>
    <s v="053843"/>
    <s v="St Ursula Academy"/>
    <s v="Lucas"/>
    <x v="0"/>
    <n v="1"/>
    <x v="0"/>
    <n v="552"/>
    <n v="16284"/>
    <n v="557.89919999999995"/>
    <n v="1.0106869565217391"/>
    <n v="311.5679524385024"/>
    <n v="16595.567952438501"/>
    <n v="0"/>
    <n v="0"/>
    <n v="16595.567952438501"/>
    <n v="30.064434696446561"/>
  </r>
  <r>
    <s v="000301"/>
    <s v="Summit Academy - Toledo"/>
    <s v="Lucas"/>
    <x v="4"/>
    <n v="1"/>
    <x v="8"/>
    <n v="138.22951599999999"/>
    <n v="4077.7707219999998"/>
    <n v="382.70846747268098"/>
    <n v="2.7686450661715476"/>
    <n v="12912.226458614023"/>
    <n v="16989.997180614024"/>
    <n v="0"/>
    <n v="0"/>
    <n v="16989.997180614024"/>
    <n v="122.91150017926725"/>
  </r>
  <r>
    <s v="013175"/>
    <s v="SunBridge Schools"/>
    <s v="Lucas"/>
    <x v="4"/>
    <n v="1"/>
    <x v="8"/>
    <n v="319.69044000000002"/>
    <n v="9430.8679800000009"/>
    <n v="412.52744716522699"/>
    <n v="1.2903965697730184"/>
    <n v="4903.2133565548856"/>
    <n v="14334.081336554886"/>
    <n v="183790.25"/>
    <n v="3683.9472171906978"/>
    <n v="18018.028553745582"/>
    <n v="56.360861318673088"/>
  </r>
  <r>
    <s v="044875"/>
    <s v="Sylvania Schools"/>
    <s v="Lucas"/>
    <x v="1"/>
    <n v="1"/>
    <x v="10"/>
    <n v="7786.9579030000004"/>
    <n v="229715.25813850001"/>
    <n v="9323.0537877769402"/>
    <n v="1.19726520984339"/>
    <n v="81129.347974160017"/>
    <n v="310844.60611266003"/>
    <n v="3896955.0794426617"/>
    <n v="78111.743253137465"/>
    <n v="388956.34936579748"/>
    <n v="49.949717747407917"/>
  </r>
  <r>
    <s v="143297"/>
    <s v="The Autism Academy Of Learning"/>
    <s v="Lucas"/>
    <x v="4"/>
    <n v="1"/>
    <x v="8"/>
    <n v="53.587063999999998"/>
    <n v="1580.8183879999999"/>
    <n v="294.18275797320001"/>
    <n v="5.4898092191279604"/>
    <n v="12707.131091800766"/>
    <n v="14287.949479800765"/>
    <n v="0"/>
    <n v="0"/>
    <n v="14287.949479800765"/>
    <n v="266.63057113561524"/>
  </r>
  <r>
    <s v="017447"/>
    <s v="The Bounty Collegium"/>
    <s v="Lucas"/>
    <x v="0"/>
    <n v="1"/>
    <x v="0"/>
    <n v="30"/>
    <n v="885"/>
    <n v="32.824800000000003"/>
    <n v="1.09416"/>
    <n v="149.19262816115574"/>
    <n v="1034.1926281611557"/>
    <n v="0"/>
    <n v="0"/>
    <n v="1034.1926281611557"/>
    <n v="34.473087605371852"/>
  </r>
  <r>
    <s v="081851"/>
    <s v="Toledo Christian"/>
    <s v="Lucas"/>
    <x v="0"/>
    <n v="1"/>
    <x v="0"/>
    <n v="518"/>
    <n v="15281"/>
    <n v="518"/>
    <n v="1"/>
    <n v="0"/>
    <n v="15281"/>
    <n v="0"/>
    <n v="0"/>
    <n v="15281"/>
    <n v="29.5"/>
  </r>
  <r>
    <s v="044909"/>
    <s v="Toledo City"/>
    <s v="Lucas"/>
    <x v="1"/>
    <n v="1"/>
    <x v="13"/>
    <n v="23160.264103000001"/>
    <n v="683227.79103850003"/>
    <n v="32865.0330960602"/>
    <n v="1.4190266980506114"/>
    <n v="512560.17833883542"/>
    <n v="1195787.9693773354"/>
    <n v="7977271.0370818079"/>
    <n v="159898.82726550227"/>
    <n v="1355686.7966428376"/>
    <n v="58.535031837881"/>
  </r>
  <r>
    <s v="134429"/>
    <s v="Toledo Islamic Academy"/>
    <s v="Lucas"/>
    <x v="0"/>
    <n v="1"/>
    <x v="0"/>
    <n v="182"/>
    <n v="5369"/>
    <n v="199.97399999999999"/>
    <n v="1.0987582417582418"/>
    <n v="949.30200317495337"/>
    <n v="6318.3020031749529"/>
    <n v="0"/>
    <n v="0"/>
    <n v="6318.3020031749529"/>
    <n v="34.71594507238985"/>
  </r>
  <r>
    <s v="054163"/>
    <s v="Toledo Junior Academy"/>
    <s v="Lucas"/>
    <x v="0"/>
    <n v="1"/>
    <x v="0"/>
    <n v="46"/>
    <n v="1357"/>
    <n v="46"/>
    <n v="1"/>
    <n v="0"/>
    <n v="1357"/>
    <n v="0"/>
    <n v="0"/>
    <n v="1357"/>
    <n v="29.5"/>
  </r>
  <r>
    <s v="000951"/>
    <s v="Toledo Preparatory and Fitness Academy"/>
    <s v="Lucas"/>
    <x v="4"/>
    <n v="1"/>
    <x v="8"/>
    <n v="192.233126"/>
    <n v="5670.8772170000002"/>
    <n v="309.18163592397701"/>
    <n v="1.6083681431886876"/>
    <n v="6176.6693412238437"/>
    <n v="11847.546558223843"/>
    <n v="0"/>
    <n v="0"/>
    <n v="11847.546558223843"/>
    <n v="61.631139256528776"/>
  </r>
  <r>
    <s v="133942"/>
    <s v="Toledo School For The Arts"/>
    <s v="Lucas"/>
    <x v="4"/>
    <n v="1"/>
    <x v="8"/>
    <n v="689.92307300000004"/>
    <n v="20352.730653500003"/>
    <n v="747.63194569989196"/>
    <n v="1.0836453728804225"/>
    <n v="3047.910785299644"/>
    <n v="23400.641438799648"/>
    <n v="0"/>
    <n v="0"/>
    <n v="23400.641438799648"/>
    <n v="33.917754536091081"/>
  </r>
  <r>
    <s v="060541"/>
    <s v="Trinity Lutheran"/>
    <s v="Lucas"/>
    <x v="0"/>
    <n v="1"/>
    <x v="0"/>
    <n v="168"/>
    <n v="4956"/>
    <n v="179.06100000000001"/>
    <n v="1.0658392857142858"/>
    <n v="584.18991082219725"/>
    <n v="5540.1899108221969"/>
    <n v="0"/>
    <n v="0"/>
    <n v="5540.1899108221969"/>
    <n v="32.97732089775117"/>
  </r>
  <r>
    <s v="048231"/>
    <s v="Washington Local "/>
    <s v="Lucas"/>
    <x v="1"/>
    <n v="1"/>
    <x v="9"/>
    <n v="6979.1772449999999"/>
    <n v="205885.72872749998"/>
    <n v="8814.9842431173201"/>
    <n v="1.2630406040242814"/>
    <n v="96958.677019882656"/>
    <n v="302844.40574738267"/>
    <n v="2314736.3539535748"/>
    <n v="46397.273792692562"/>
    <n v="349241.67954007525"/>
    <n v="50.040523012978049"/>
  </r>
  <r>
    <s v="086520"/>
    <s v="West Side Montessori"/>
    <s v="Lucas"/>
    <x v="0"/>
    <n v="1"/>
    <x v="0"/>
    <n v="162"/>
    <n v="4779"/>
    <n v="162"/>
    <n v="1"/>
    <n v="0"/>
    <n v="4779"/>
    <n v="0"/>
    <n v="0"/>
    <n v="4779"/>
    <n v="29.5"/>
  </r>
  <r>
    <s v="000222"/>
    <s v="Wildwood Environmental Academy"/>
    <s v="Lucas"/>
    <x v="4"/>
    <n v="1"/>
    <x v="8"/>
    <n v="363.456998"/>
    <n v="10721.981441"/>
    <n v="508.87450825496398"/>
    <n v="1.4000955025082884"/>
    <n v="7680.2678191694513"/>
    <n v="18402.24926016945"/>
    <n v="0"/>
    <n v="0"/>
    <n v="18402.24926016945"/>
    <n v="50.631159563392011"/>
  </r>
  <r>
    <s v="000546"/>
    <s v="Winterfield Venture Academy"/>
    <s v="Lucas"/>
    <x v="4"/>
    <n v="1"/>
    <x v="8"/>
    <n v="544.98231699999997"/>
    <n v="16076.978351499998"/>
    <n v="749.766034585738"/>
    <n v="1.3757621324541767"/>
    <n v="10815.711211847954"/>
    <n v="26892.689563347951"/>
    <n v="131206.26999999999"/>
    <n v="2629.9380584360229"/>
    <n v="29522.627621783973"/>
    <n v="54.171716587611733"/>
  </r>
  <r>
    <s v="069906"/>
    <s v="Zion Lutheran"/>
    <s v="Lucas"/>
    <x v="0"/>
    <n v="1"/>
    <x v="0"/>
    <n v="27"/>
    <n v="796.5"/>
    <n v="27"/>
    <n v="1"/>
    <n v="0"/>
    <n v="796.5"/>
    <n v="0"/>
    <n v="0"/>
    <n v="796.5"/>
    <n v="29.5"/>
  </r>
  <r>
    <s v="048256"/>
    <s v="Jefferson Local"/>
    <s v="Madison"/>
    <x v="1"/>
    <n v="1"/>
    <x v="7"/>
    <n v="1141.752929"/>
    <n v="33681.711405499998"/>
    <n v="1418.68684921866"/>
    <n v="1.2425515303571075"/>
    <n v="14626.345010051562"/>
    <n v="48308.05641555156"/>
    <n v="559958.91611674521"/>
    <n v="11223.985444110353"/>
    <n v="59532.041859661913"/>
    <n v="52.140914507487032"/>
  </r>
  <r>
    <s v="048264"/>
    <s v="Jonathan Alder Local"/>
    <s v="Madison"/>
    <x v="1"/>
    <n v="1"/>
    <x v="7"/>
    <n v="2155.317067"/>
    <n v="63581.8534765"/>
    <n v="2447.50673794964"/>
    <n v="1.1355669081933921"/>
    <n v="15432.08189270746"/>
    <n v="79013.935369207466"/>
    <n v="1840842.0177128783"/>
    <n v="36898.39275174318"/>
    <n v="115912.32812095064"/>
    <n v="53.779710602992523"/>
  </r>
  <r>
    <s v="044255"/>
    <s v="London City"/>
    <s v="Madison"/>
    <x v="1"/>
    <n v="1"/>
    <x v="6"/>
    <n v="2096.4318859999998"/>
    <n v="61844.740636999995"/>
    <n v="2497.98527750929"/>
    <n v="1.1915413489896185"/>
    <n v="21208.158392203499"/>
    <n v="83052.899029203487"/>
    <n v="1204817.4467480322"/>
    <n v="24149.724374226676"/>
    <n v="107202.62340343016"/>
    <n v="51.135753142914261"/>
  </r>
  <r>
    <s v="048272"/>
    <s v="Madison-Plains Local"/>
    <s v="Madison"/>
    <x v="1"/>
    <n v="1"/>
    <x v="3"/>
    <n v="1172.0985049999999"/>
    <n v="34576.905897500001"/>
    <n v="1410.78108112532"/>
    <n v="1.2036369597837855"/>
    <n v="12606.089219913476"/>
    <n v="47182.995117413477"/>
    <n v="1066842.9754796987"/>
    <n v="21384.122447724403"/>
    <n v="68567.117565137887"/>
    <n v="58.499449724268601"/>
  </r>
  <r>
    <s v="058107"/>
    <s v="St Patrick"/>
    <s v="Madison"/>
    <x v="0"/>
    <n v="1"/>
    <x v="0"/>
    <n v="130"/>
    <n v="3835"/>
    <n v="138.3552"/>
    <n v="1.0642707692307691"/>
    <n v="441.28230204336108"/>
    <n v="4276.2823020433607"/>
    <n v="0"/>
    <n v="0"/>
    <n v="4276.2823020433607"/>
    <n v="32.894479246487393"/>
  </r>
  <r>
    <s v="063511"/>
    <s v="Tolles Career &amp; Technical Center"/>
    <s v="Madison"/>
    <x v="3"/>
    <n v="1"/>
    <x v="4"/>
    <n v="746.80569300000002"/>
    <n v="22030.767943499999"/>
    <n v="964.90945885005794"/>
    <n v="1.2920488795069456"/>
    <n v="11519.21340945038"/>
    <n v="33549.981352950381"/>
    <n v="0"/>
    <n v="0"/>
    <n v="33549.981352950381"/>
    <n v="44.924645951983095"/>
  </r>
  <r>
    <s v="013249"/>
    <s v="Academy for Urban Scholars Youngstown"/>
    <s v="Mahoning"/>
    <x v="4"/>
    <n v="1"/>
    <x v="8"/>
    <n v="195.59901300000001"/>
    <n v="5770.1708835000009"/>
    <n v="272.04047626518701"/>
    <n v="1.3908069989350458"/>
    <n v="4037.2779683579988"/>
    <n v="9807.4488518580001"/>
    <n v="0"/>
    <n v="0"/>
    <n v="9807.4488518580001"/>
    <n v="50.140584563471187"/>
  </r>
  <r>
    <s v="015696"/>
    <s v="ACLD School"/>
    <s v="Mahoning"/>
    <x v="0"/>
    <n v="1"/>
    <x v="0"/>
    <n v="63"/>
    <n v="1858.5"/>
    <n v="111.744"/>
    <n v="1.7737142857142858"/>
    <n v="2574.428443460552"/>
    <n v="4432.9284434605524"/>
    <n v="0"/>
    <n v="0"/>
    <n v="4432.9284434605524"/>
    <n v="70.3639435469929"/>
  </r>
  <r>
    <s v="095711"/>
    <s v="Akiva Academy"/>
    <s v="Mahoning"/>
    <x v="0"/>
    <n v="1"/>
    <x v="0"/>
    <n v="154"/>
    <n v="4543"/>
    <n v="174.34799999999998"/>
    <n v="1.1321298701298701"/>
    <n v="1074.6854990877905"/>
    <n v="5617.685499087791"/>
    <n v="0"/>
    <n v="0"/>
    <n v="5617.685499087791"/>
    <n v="36.478477266803836"/>
  </r>
  <r>
    <s v="048298"/>
    <s v="Austintown Local Schools"/>
    <s v="Mahoning"/>
    <x v="1"/>
    <n v="1"/>
    <x v="9"/>
    <n v="4437.3824839999997"/>
    <n v="130902.78327799999"/>
    <n v="5478.2653996973904"/>
    <n v="1.2345713761323331"/>
    <n v="54974.531931797021"/>
    <n v="185877.315209797"/>
    <n v="2484887.1395010795"/>
    <n v="49807.827469617972"/>
    <n v="235685.14267941497"/>
    <n v="53.113551407666975"/>
  </r>
  <r>
    <s v="048306"/>
    <s v="Boardman Local"/>
    <s v="Mahoning"/>
    <x v="1"/>
    <n v="1"/>
    <x v="10"/>
    <n v="4044.2547639999998"/>
    <n v="119305.51553799999"/>
    <n v="4911.7618764143199"/>
    <n v="1.2145035768113446"/>
    <n v="45817.638788440752"/>
    <n v="165123.15432644074"/>
    <n v="3058814.4539724537"/>
    <n v="61311.79970436138"/>
    <n v="226434.95403080212"/>
    <n v="55.989290300506433"/>
  </r>
  <r>
    <s v="043703"/>
    <s v="Campbell City"/>
    <s v="Mahoning"/>
    <x v="1"/>
    <n v="1"/>
    <x v="9"/>
    <n v="1061.8156509999999"/>
    <n v="31323.561704499996"/>
    <n v="1444.2164229676901"/>
    <n v="1.3601385717073879"/>
    <n v="20196.607257403866"/>
    <n v="51520.168961903866"/>
    <n v="604699.91376441612"/>
    <n v="12120.787498509173"/>
    <n v="63640.956460413043"/>
    <n v="59.935975138883173"/>
  </r>
  <r>
    <s v="048314"/>
    <s v="Canfield Local"/>
    <s v="Mahoning"/>
    <x v="1"/>
    <n v="1"/>
    <x v="10"/>
    <n v="2563.7762699999998"/>
    <n v="75631.39996499999"/>
    <n v="2909.9169069453301"/>
    <n v="1.1350120293239667"/>
    <n v="18281.517749663763"/>
    <n v="93912.917714663752"/>
    <n v="1638380.8002721595"/>
    <n v="32840.199030477896"/>
    <n v="126753.11674514165"/>
    <n v="49.440007003864523"/>
  </r>
  <r>
    <s v="052787"/>
    <s v="Cardinal Mooney"/>
    <s v="Mahoning"/>
    <x v="0"/>
    <n v="1"/>
    <x v="0"/>
    <n v="352"/>
    <n v="10384"/>
    <n v="387.83420000000001"/>
    <n v="1.1018017045454547"/>
    <n v="1892.593626470009"/>
    <n v="12276.593626470009"/>
    <n v="0"/>
    <n v="0"/>
    <n v="12276.593626470009"/>
    <n v="34.87668643883525"/>
  </r>
  <r>
    <s v="119917"/>
    <s v="Hitchcock Woods"/>
    <s v="Mahoning"/>
    <x v="0"/>
    <n v="1"/>
    <x v="0"/>
    <n v="4"/>
    <n v="118"/>
    <n v="4"/>
    <n v="1"/>
    <n v="0"/>
    <n v="118"/>
    <n v="0"/>
    <n v="0"/>
    <n v="118"/>
    <n v="29.5"/>
  </r>
  <r>
    <s v="059964"/>
    <s v="Holy Family"/>
    <s v="Mahoning"/>
    <x v="0"/>
    <n v="1"/>
    <x v="0"/>
    <n v="249"/>
    <n v="7345.5"/>
    <n v="283.34559999999999"/>
    <n v="1.1379341365461848"/>
    <n v="1813.9727873731883"/>
    <n v="9159.4727873731881"/>
    <n v="0"/>
    <n v="0"/>
    <n v="9159.4727873731881"/>
    <n v="36.78503127459112"/>
  </r>
  <r>
    <s v="011986"/>
    <s v="Horizon Science Academy Youngstown"/>
    <s v="Mahoning"/>
    <x v="4"/>
    <n v="1"/>
    <x v="8"/>
    <n v="395.062859"/>
    <n v="11654.3543405"/>
    <n v="502.94496668900001"/>
    <n v="1.2730758035874994"/>
    <n v="5697.8246876546018"/>
    <n v="17352.179028154602"/>
    <n v="0"/>
    <n v="0"/>
    <n v="17352.179028154602"/>
    <n v="43.922577465462531"/>
  </r>
  <r>
    <s v="009435"/>
    <s v="Islamic Academy of Youngstown"/>
    <s v="Mahoning"/>
    <x v="0"/>
    <n v="1"/>
    <x v="0"/>
    <n v="40"/>
    <n v="1180"/>
    <n v="40.4"/>
    <n v="1.01"/>
    <n v="21.126115570823426"/>
    <n v="1201.1261155708235"/>
    <n v="0"/>
    <n v="0"/>
    <n v="1201.1261155708235"/>
    <n v="30.028152889270586"/>
  </r>
  <r>
    <s v="048322"/>
    <s v="Jackson-Milton Local"/>
    <s v="Mahoning"/>
    <x v="1"/>
    <n v="1"/>
    <x v="7"/>
    <n v="747.53919099999996"/>
    <n v="22052.406134499997"/>
    <n v="893.68683609514699"/>
    <n v="1.1955049940587623"/>
    <n v="7718.8301017094309"/>
    <n v="29771.236236209428"/>
    <n v="780714.79840202327"/>
    <n v="15648.88294668912"/>
    <n v="45420.119182898547"/>
    <n v="60.759515661164244"/>
  </r>
  <r>
    <s v="048330"/>
    <s v="Lowellville Local"/>
    <s v="Mahoning"/>
    <x v="1"/>
    <n v="1"/>
    <x v="7"/>
    <n v="493.83421800000002"/>
    <n v="14568.109431000001"/>
    <n v="582.73729333802396"/>
    <n v="1.1800261547247095"/>
    <n v="4695.4416104818056"/>
    <n v="19263.551041481805"/>
    <n v="187104.88505083768"/>
    <n v="3750.3867621150675"/>
    <n v="23013.937803596873"/>
    <n v="46.602558034155649"/>
  </r>
  <r>
    <s v="051243"/>
    <s v="Mahoning Co Career &amp; Tech Ctr"/>
    <s v="Mahoning"/>
    <x v="3"/>
    <n v="1"/>
    <x v="4"/>
    <n v="727.98693400000002"/>
    <n v="21475.614552999999"/>
    <n v="989.26262592077796"/>
    <n v="1.3589016227051927"/>
    <n v="13799.351158413076"/>
    <n v="35274.965711413075"/>
    <n v="0"/>
    <n v="0"/>
    <n v="35274.965711413075"/>
    <n v="48.455492899564973"/>
  </r>
  <r>
    <n v="66118"/>
    <s v="Mahoning County Board of DD"/>
    <s v="Mahoning"/>
    <x v="2"/>
    <n v="1"/>
    <x v="2"/>
    <n v="67.919999999999987"/>
    <n v="2003.6399999999996"/>
    <n v="313.66898700000002"/>
    <n v="4.6182124116607781"/>
    <n v="12979.303751937006"/>
    <n v="14982.943751937006"/>
    <n v="0"/>
    <n v="0"/>
    <n v="14982.943751937006"/>
    <n v="220.59693392133406"/>
  </r>
  <r>
    <s v="009996"/>
    <s v="Mahoning County High School"/>
    <s v="Mahoning"/>
    <x v="4"/>
    <n v="1"/>
    <x v="8"/>
    <n v="78.775744000000003"/>
    <n v="2323.8844480000002"/>
    <n v="107.147488823345"/>
    <n v="1.3601583861060709"/>
    <n v="1498.4619002097495"/>
    <n v="3822.3463482097495"/>
    <n v="0"/>
    <n v="0"/>
    <n v="3822.3463482097495"/>
    <n v="48.521869221695312"/>
  </r>
  <r>
    <s v="148999"/>
    <s v="Mahoning Unlimited Classroom"/>
    <s v="Mahoning"/>
    <x v="4"/>
    <n v="1"/>
    <x v="5"/>
    <n v="89.750996000000001"/>
    <n v="529.53087640000001"/>
    <n v="118.59807215324599"/>
    <n v="1.3214123234158426"/>
    <n v="0"/>
    <n v="529.53087640000001"/>
    <n v="0"/>
    <n v="0"/>
    <n v="529.53087640000001"/>
    <n v="5.9"/>
  </r>
  <r>
    <s v="048348"/>
    <s v="Poland Local"/>
    <s v="Mahoning"/>
    <x v="1"/>
    <n v="1"/>
    <x v="10"/>
    <n v="1814.7664119999999"/>
    <n v="53535.609153999998"/>
    <n v="2042.94095687864"/>
    <n v="1.1257321842468837"/>
    <n v="12051.104513565508"/>
    <n v="65586.713667565506"/>
    <n v="968180.73301701597"/>
    <n v="19406.506695190226"/>
    <n v="84993.220362755732"/>
    <n v="46.834248088759388"/>
  </r>
  <r>
    <s v="132878"/>
    <s v="Potential Development/Autism"/>
    <s v="Mahoning"/>
    <x v="0"/>
    <n v="1"/>
    <x v="0"/>
    <n v="151"/>
    <n v="4454.5"/>
    <n v="277.75959999999998"/>
    <n v="1.8394675496688739"/>
    <n v="6694.8448982783948"/>
    <n v="11149.344898278396"/>
    <n v="0"/>
    <n v="0"/>
    <n v="11149.344898278396"/>
    <n v="73.836721180651622"/>
  </r>
  <r>
    <s v="048355"/>
    <s v="Sebring Local"/>
    <s v="Mahoning"/>
    <x v="1"/>
    <n v="1"/>
    <x v="6"/>
    <n v="406.78564899999998"/>
    <n v="12000.1766455"/>
    <n v="584.62668354586594"/>
    <n v="1.4371861076787051"/>
    <n v="9392.7256226269474"/>
    <n v="21392.902268126949"/>
    <n v="160027.89498141178"/>
    <n v="3207.6474045258501"/>
    <n v="24600.5496726528"/>
    <n v="60.475461052100194"/>
  </r>
  <r>
    <s v="048363"/>
    <s v="South Range Local"/>
    <s v="Mahoning"/>
    <x v="1"/>
    <n v="1"/>
    <x v="7"/>
    <n v="1242.165219"/>
    <n v="36643.873960500001"/>
    <n v="1410.45047741195"/>
    <n v="1.1354773550554147"/>
    <n v="8888.0345451918856"/>
    <n v="45531.908505691885"/>
    <n v="773394.20638700121"/>
    <n v="15502.146791849957"/>
    <n v="61034.05529754184"/>
    <n v="49.135215158155091"/>
  </r>
  <r>
    <s v="012105"/>
    <s v="Southside Academy"/>
    <s v="Mahoning"/>
    <x v="4"/>
    <n v="1"/>
    <x v="8"/>
    <n v="149.236514"/>
    <n v="4402.4771629999996"/>
    <n v="206.311960364415"/>
    <n v="1.3824496085751172"/>
    <n v="3014.4561903774234"/>
    <n v="7416.9333533774225"/>
    <n v="0"/>
    <n v="0"/>
    <n v="7416.9333533774225"/>
    <n v="49.69918657693534"/>
  </r>
  <r>
    <s v="048371"/>
    <s v="Springfield Local"/>
    <s v="Mahoning"/>
    <x v="1"/>
    <n v="1"/>
    <x v="7"/>
    <n v="942.59684300000004"/>
    <n v="27806.606868500003"/>
    <n v="1078.0419774002301"/>
    <n v="1.1436936007223928"/>
    <n v="7153.5739071124526"/>
    <n v="34960.180775612454"/>
    <n v="631807.9602775299"/>
    <n v="12664.149360824837"/>
    <n v="47624.330136437289"/>
    <n v="50.524601785068029"/>
  </r>
  <r>
    <s v="059592"/>
    <s v="St Charles"/>
    <s v="Mahoning"/>
    <x v="0"/>
    <n v="1"/>
    <x v="0"/>
    <n v="277"/>
    <n v="8171.5"/>
    <n v="295.66019999999997"/>
    <n v="1.0673653429602887"/>
    <n v="985.54385443670026"/>
    <n v="9157.0438544367007"/>
    <n v="0"/>
    <n v="0"/>
    <n v="9157.0438544367007"/>
    <n v="33.05792005211805"/>
  </r>
  <r>
    <s v="060152"/>
    <s v="St Christine"/>
    <s v="Mahoning"/>
    <x v="0"/>
    <n v="1"/>
    <x v="0"/>
    <n v="323"/>
    <n v="9528.5"/>
    <n v="342.14879999999999"/>
    <n v="1.0592842105263158"/>
    <n v="1011.3494046064623"/>
    <n v="10539.849404606462"/>
    <n v="0"/>
    <n v="0"/>
    <n v="10539.849404606462"/>
    <n v="32.631112707759947"/>
  </r>
  <r>
    <s v="059626"/>
    <s v="St Joseph The Provider"/>
    <s v="Mahoning"/>
    <x v="0"/>
    <n v="1"/>
    <x v="0"/>
    <n v="173"/>
    <n v="5103.5"/>
    <n v="193.36179999999999"/>
    <n v="1.1176982658959538"/>
    <n v="1075.4143500749842"/>
    <n v="6178.9143500749842"/>
    <n v="0"/>
    <n v="0"/>
    <n v="6178.9143500749842"/>
    <n v="35.716267919508581"/>
  </r>
  <r>
    <s v="060004"/>
    <s v="St Nicholas"/>
    <s v="Mahoning"/>
    <x v="0"/>
    <n v="1"/>
    <x v="0"/>
    <n v="180"/>
    <n v="5310"/>
    <n v="200.02439999999999"/>
    <n v="1.1112466666666665"/>
    <n v="1057.5944715909945"/>
    <n v="6367.5944715909945"/>
    <n v="0"/>
    <n v="0"/>
    <n v="6367.5944715909945"/>
    <n v="35.37552484217219"/>
  </r>
  <r>
    <s v="000855"/>
    <s v="Stambaugh Charter Academy"/>
    <s v="Mahoning"/>
    <x v="4"/>
    <n v="1"/>
    <x v="8"/>
    <n v="442.70430499999998"/>
    <n v="13059.776997499999"/>
    <n v="645.21839816112902"/>
    <n v="1.4574477611215664"/>
    <n v="10695.840342106323"/>
    <n v="23755.617339606324"/>
    <n v="0"/>
    <n v="0"/>
    <n v="23755.617339606324"/>
    <n v="53.660235672671682"/>
  </r>
  <r>
    <s v="044859"/>
    <s v="Struthers City"/>
    <s v="Mahoning"/>
    <x v="1"/>
    <n v="1"/>
    <x v="6"/>
    <n v="1763.3694049999999"/>
    <n v="52019.3974475"/>
    <n v="2285.4061849290802"/>
    <n v="1.2960450478775773"/>
    <n v="27571.523362505755"/>
    <n v="79590.920810005759"/>
    <n v="364582.30068594188"/>
    <n v="7307.7976228279667"/>
    <n v="86898.718432833732"/>
    <n v="49.279928633463918"/>
  </r>
  <r>
    <s v="000303"/>
    <s v="Summit Academy Secondary - Youngstown"/>
    <s v="Mahoning"/>
    <x v="4"/>
    <n v="1"/>
    <x v="8"/>
    <n v="179.292024"/>
    <n v="5289.1147080000001"/>
    <n v="456.95237284194599"/>
    <n v="2.5486486383908855"/>
    <n v="14664.711547675299"/>
    <n v="19953.8262556753"/>
    <n v="0"/>
    <n v="0"/>
    <n v="19953.8262556753"/>
    <n v="111.29232528311076"/>
  </r>
  <r>
    <s v="000623"/>
    <s v="Summit Academy-Youngstown"/>
    <s v="Mahoning"/>
    <x v="4"/>
    <n v="1"/>
    <x v="8"/>
    <n v="212.49461299999999"/>
    <n v="6268.5910834999995"/>
    <n v="571.87935893930899"/>
    <n v="2.6912652083999373"/>
    <n v="18981.009192762209"/>
    <n v="25249.600276262208"/>
    <n v="0"/>
    <n v="0"/>
    <n v="25249.600276262208"/>
    <n v="118.82466063392492"/>
  </r>
  <r>
    <s v="096909"/>
    <s v="The Montessori School of the Mahoning Valley"/>
    <s v="Mahoning"/>
    <x v="0"/>
    <n v="1"/>
    <x v="0"/>
    <n v="91"/>
    <n v="2684.5"/>
    <n v="92.6"/>
    <n v="1.0175824175824175"/>
    <n v="84.504462283293705"/>
    <n v="2769.0044622832938"/>
    <n v="0"/>
    <n v="0"/>
    <n v="2769.0044622832938"/>
    <n v="30.42862046465158"/>
  </r>
  <r>
    <s v="053934"/>
    <s v="Ursuline"/>
    <s v="Mahoning"/>
    <x v="0"/>
    <n v="1"/>
    <x v="0"/>
    <n v="431"/>
    <n v="12714.5"/>
    <n v="453.94799999999998"/>
    <n v="1.0532436194895591"/>
    <n v="1212.005250298143"/>
    <n v="13926.505250298143"/>
    <n v="0"/>
    <n v="0"/>
    <n v="13926.505250298143"/>
    <n v="32.312077146863444"/>
  </r>
  <r>
    <s v="134437"/>
    <s v="Ursuline Preschool &amp; Kindergar"/>
    <s v="Mahoning"/>
    <x v="0"/>
    <n v="1"/>
    <x v="0"/>
    <n v="31"/>
    <n v="914.5"/>
    <n v="31"/>
    <n v="1"/>
    <n v="0"/>
    <n v="914.5"/>
    <n v="0"/>
    <n v="0"/>
    <n v="914.5"/>
    <n v="29.5"/>
  </r>
  <r>
    <s v="068403"/>
    <s v="Valley Christian School"/>
    <s v="Mahoning"/>
    <x v="0"/>
    <n v="1"/>
    <x v="0"/>
    <n v="707"/>
    <n v="20856.5"/>
    <n v="815.40420000000006"/>
    <n v="1.1533298444130129"/>
    <n v="5725.3991439066649"/>
    <n v="26581.899143906667"/>
    <n v="0"/>
    <n v="0"/>
    <n v="26581.899143906667"/>
    <n v="37.598160033814239"/>
  </r>
  <r>
    <s v="014943"/>
    <s v="Valley STEM+ME2 Academy"/>
    <s v="Mahoning"/>
    <x v="5"/>
    <n v="1"/>
    <x v="12"/>
    <n v="200.779235"/>
    <n v="5922.9874325000001"/>
    <n v="264.78537469606101"/>
    <n v="1.3187886421425055"/>
    <n v="3380.5027611531464"/>
    <n v="9303.490193653146"/>
    <n v="0"/>
    <n v="0"/>
    <n v="9303.490193653146"/>
    <n v="46.336914241421162"/>
  </r>
  <r>
    <s v="048389"/>
    <s v="West Branch Local"/>
    <s v="Mahoning"/>
    <x v="1"/>
    <n v="1"/>
    <x v="1"/>
    <n v="1989.0432929999999"/>
    <n v="58676.777143499996"/>
    <n v="2375.6721742874302"/>
    <n v="1.1943793192677532"/>
    <n v="20419.916072741125"/>
    <n v="79096.693216241125"/>
    <n v="1814559.3567002672"/>
    <n v="36371.575165403454"/>
    <n v="115468.26838164458"/>
    <n v="58.052164469224842"/>
  </r>
  <r>
    <s v="048397"/>
    <s v="Western Reserve Local"/>
    <s v="Mahoning"/>
    <x v="1"/>
    <n v="1"/>
    <x v="3"/>
    <n v="651.76502000000005"/>
    <n v="19227.068090000001"/>
    <n v="747.34529949941304"/>
    <n v="1.1466483725981689"/>
    <n v="5048.1000774905278"/>
    <n v="24275.168167490527"/>
    <n v="607078.56695606164"/>
    <n v="12168.465940679116"/>
    <n v="36443.634108169645"/>
    <n v="55.915296141805278"/>
  </r>
  <r>
    <s v="007984"/>
    <s v="Youngstown Academy of Excellence"/>
    <s v="Mahoning"/>
    <x v="4"/>
    <n v="1"/>
    <x v="8"/>
    <n v="167.19558499999999"/>
    <n v="4932.2697575000002"/>
    <n v="241.74714307138299"/>
    <n v="1.4458942984133403"/>
    <n v="3937.4620795024921"/>
    <n v="8869.7318370024914"/>
    <n v="0"/>
    <n v="0"/>
    <n v="8869.7318370024914"/>
    <n v="53.050036201628721"/>
  </r>
  <r>
    <s v="045161"/>
    <s v="Youngstown City"/>
    <s v="Mahoning"/>
    <x v="1"/>
    <n v="1"/>
    <x v="13"/>
    <n v="5264.3900759999997"/>
    <n v="155299.50724199999"/>
    <n v="7530.1821399357304"/>
    <n v="1.4303997293561745"/>
    <n v="119668.46250540239"/>
    <n v="274967.96974740236"/>
    <n v="5004969.4834258296"/>
    <n v="100321.11823445992"/>
    <n v="375289.08798186225"/>
    <n v="71.288237110844037"/>
  </r>
  <r>
    <s v="134072"/>
    <s v="Youngstown Community School"/>
    <s v="Mahoning"/>
    <x v="4"/>
    <n v="1"/>
    <x v="8"/>
    <n v="340.82519300000001"/>
    <n v="10054.343193500001"/>
    <n v="431.19544490683103"/>
    <n v="1.2651513261428153"/>
    <n v="4772.930964870362"/>
    <n v="14827.274158370363"/>
    <n v="0"/>
    <n v="0"/>
    <n v="14827.274158370363"/>
    <n v="43.504043899625586"/>
  </r>
  <r>
    <s v="048413"/>
    <s v="Elgin Local"/>
    <s v="Marion"/>
    <x v="1"/>
    <n v="1"/>
    <x v="1"/>
    <n v="1021.999854"/>
    <n v="30148.995693000001"/>
    <n v="1249.2147422712101"/>
    <n v="1.2223237971922549"/>
    <n v="12000.419972573331"/>
    <n v="42149.415665573331"/>
    <n v="1300394.8279134915"/>
    <n v="26065.506236272508"/>
    <n v="68214.921901845839"/>
    <n v="66.746508460700653"/>
  </r>
  <r>
    <s v="044339"/>
    <s v="Marion City"/>
    <s v="Marion"/>
    <x v="1"/>
    <n v="1"/>
    <x v="9"/>
    <n v="4454.9966409999997"/>
    <n v="131422.40090949999"/>
    <n v="6311.5548208874197"/>
    <n v="1.4167361570604202"/>
    <n v="98054.656680648404"/>
    <n v="229477.05759014841"/>
    <n v="1322849.9331293355"/>
    <n v="26515.603139517552"/>
    <n v="255992.66072966595"/>
    <n v="57.461920032380554"/>
  </r>
  <r>
    <s v="017585"/>
    <s v="Marion Preparatory Academy"/>
    <s v="Marion"/>
    <x v="4"/>
    <n v="1"/>
    <x v="8"/>
    <n v="99.210000000000008"/>
    <n v="2926.6950000000002"/>
    <n v="122.33076400000002"/>
    <n v="1.2330487249269229"/>
    <n v="1221.1298308743389"/>
    <n v="4147.8248308743387"/>
    <n v="0"/>
    <n v="0"/>
    <n v="4147.8248308743387"/>
    <n v="41.808535741098055"/>
  </r>
  <r>
    <s v="048421"/>
    <s v="Pleasant Local"/>
    <s v="Marion"/>
    <x v="1"/>
    <n v="1"/>
    <x v="7"/>
    <n v="1307.4443040000001"/>
    <n v="38569.606968"/>
    <n v="1367.50472028947"/>
    <n v="1.0459372656301464"/>
    <n v="3172.1082394077789"/>
    <n v="41741.715207407782"/>
    <n v="1023890.335781684"/>
    <n v="20523.166779583702"/>
    <n v="62264.881986991488"/>
    <n v="47.623353282811415"/>
  </r>
  <r>
    <s v="048439"/>
    <s v="Ridgedale Local "/>
    <s v="Marion"/>
    <x v="1"/>
    <n v="1"/>
    <x v="1"/>
    <n v="635.35834199999999"/>
    <n v="18743.071089000001"/>
    <n v="765.05992982272403"/>
    <n v="1.2041392695253603"/>
    <n v="6850.226835155454"/>
    <n v="25593.297924155457"/>
    <n v="712967.2170290536"/>
    <n v="14290.929987430662"/>
    <n v="39884.227911586117"/>
    <n v="62.774383013587816"/>
  </r>
  <r>
    <s v="048447"/>
    <s v="River Valley Local"/>
    <s v="Marion"/>
    <x v="1"/>
    <n v="1"/>
    <x v="7"/>
    <n v="1948.569845"/>
    <n v="57482.810427500001"/>
    <n v="2254.3810076671998"/>
    <n v="1.1569413400560964"/>
    <n v="16151.50491338792"/>
    <n v="73634.315340887915"/>
    <n v="1724098.1409551217"/>
    <n v="34558.343266496864"/>
    <n v="108192.65860738477"/>
    <n v="55.524136784219181"/>
  </r>
  <r>
    <s v="058032"/>
    <s v="St Mary"/>
    <s v="Marion"/>
    <x v="0"/>
    <n v="1"/>
    <x v="0"/>
    <n v="99"/>
    <n v="2920.5"/>
    <n v="112.58940000000001"/>
    <n v="1.1372666666666669"/>
    <n v="717.72808734537284"/>
    <n v="3638.2280873453728"/>
    <n v="0"/>
    <n v="0"/>
    <n v="3638.2280873453728"/>
    <n v="36.749778660054268"/>
  </r>
  <r>
    <s v="143305"/>
    <s v="TRECA Digital Academy"/>
    <s v="Marion"/>
    <x v="4"/>
    <n v="1"/>
    <x v="5"/>
    <n v="1823.264326"/>
    <n v="10757.2595234"/>
    <n v="2341.6061009405398"/>
    <n v="1.2842932686988469"/>
    <n v="0"/>
    <n v="10757.2595234"/>
    <n v="0"/>
    <n v="0"/>
    <n v="10757.2595234"/>
    <n v="5.9"/>
  </r>
  <r>
    <s v="065268"/>
    <s v="Tri-Rivers"/>
    <s v="Marion"/>
    <x v="3"/>
    <n v="1"/>
    <x v="4"/>
    <n v="505.18934999999999"/>
    <n v="14903.085825"/>
    <n v="622.63457097785499"/>
    <n v="1.2324776264144424"/>
    <n v="6202.9032790476731"/>
    <n v="21105.989104047672"/>
    <n v="0"/>
    <n v="0"/>
    <n v="21105.989104047672"/>
    <n v="41.778373008155604"/>
  </r>
  <r>
    <s v="048462"/>
    <s v="Black River Local"/>
    <s v="Medina"/>
    <x v="1"/>
    <n v="1"/>
    <x v="3"/>
    <n v="1127.4712790000001"/>
    <n v="33260.402730500005"/>
    <n v="1357.0070242398899"/>
    <n v="1.2035845608798783"/>
    <n v="12122.996703932529"/>
    <n v="45383.399434432533"/>
    <n v="1503030.6238003557"/>
    <n v="30127.199260579488"/>
    <n v="75510.598695012013"/>
    <n v="66.973412184818955"/>
  </r>
  <r>
    <s v="043661"/>
    <s v="Brunswick City"/>
    <s v="Medina"/>
    <x v="1"/>
    <n v="1"/>
    <x v="10"/>
    <n v="6829.6681470000003"/>
    <n v="201475.21033650002"/>
    <n v="7842.1208079967901"/>
    <n v="1.1482433171283029"/>
    <n v="53472.979815514911"/>
    <n v="254948.19015201493"/>
    <n v="3999809.7226821058"/>
    <n v="80173.392751612453"/>
    <n v="335121.58290362736"/>
    <n v="49.068501673955105"/>
  </r>
  <r>
    <s v="048470"/>
    <s v="Buckeye Local "/>
    <s v="Medina"/>
    <x v="1"/>
    <n v="1"/>
    <x v="7"/>
    <n v="2267.5002039999999"/>
    <n v="66891.256018"/>
    <n v="2590.3453812489001"/>
    <n v="1.142379337686225"/>
    <n v="17051.161315108158"/>
    <n v="83942.417333108155"/>
    <n v="1656468.6816972897"/>
    <n v="33202.757982549534"/>
    <n v="117145.17531565769"/>
    <n v="51.662696704065077"/>
  </r>
  <r>
    <s v="048488"/>
    <s v="Cloverleaf Local"/>
    <s v="Medina"/>
    <x v="1"/>
    <n v="1"/>
    <x v="7"/>
    <n v="2257.186733"/>
    <n v="66587.008623500005"/>
    <n v="2673.95812537452"/>
    <n v="1.1846419643892705"/>
    <n v="22011.901504792844"/>
    <n v="88598.910128292846"/>
    <n v="2498052.4045721721"/>
    <n v="50071.716014425052"/>
    <n v="138670.6261427179"/>
    <n v="61.4351591365294"/>
  </r>
  <r>
    <s v="048496"/>
    <s v="Highland Local"/>
    <s v="Medina"/>
    <x v="1"/>
    <n v="1"/>
    <x v="11"/>
    <n v="3224.3680319999999"/>
    <n v="95118.856943999999"/>
    <n v="3704.8131680546799"/>
    <n v="1.1490044347563735"/>
    <n v="25374.848674327979"/>
    <n v="120493.70561832798"/>
    <n v="2729704.8562317132"/>
    <n v="54715.027640839238"/>
    <n v="175208.73325916723"/>
    <n v="54.338937590349872"/>
  </r>
  <r>
    <s v="089979"/>
    <s v="Medina Christian Academy"/>
    <s v="Medina"/>
    <x v="0"/>
    <n v="1"/>
    <x v="0"/>
    <n v="206"/>
    <n v="6077"/>
    <n v="208.9496"/>
    <n v="1.0143184466019417"/>
    <n v="155.78397621925271"/>
    <n v="6232.7839762192525"/>
    <n v="0"/>
    <n v="0"/>
    <n v="6232.7839762192525"/>
    <n v="30.256232894268216"/>
  </r>
  <r>
    <s v="044388"/>
    <s v="Medina City SD"/>
    <s v="Medina"/>
    <x v="1"/>
    <n v="1"/>
    <x v="10"/>
    <n v="6610.1999180000003"/>
    <n v="195000.897581"/>
    <n v="7770.6408551821296"/>
    <n v="1.1755530773013647"/>
    <n v="61289.023380060993"/>
    <n v="256289.920961061"/>
    <n v="3052137.5173362442"/>
    <n v="61177.965172114309"/>
    <n v="317467.88613317529"/>
    <n v="48.026971963236662"/>
  </r>
  <r>
    <n v="66134"/>
    <s v="Medina County Board of DD"/>
    <s v="Medina"/>
    <x v="2"/>
    <n v="1"/>
    <x v="2"/>
    <n v="32.36"/>
    <n v="954.62"/>
    <n v="155.597093"/>
    <n v="4.8083156056860323"/>
    <n v="6508.8026733258093"/>
    <n v="7463.4226733258092"/>
    <n v="0"/>
    <n v="0"/>
    <n v="7463.4226733258092"/>
    <n v="230.63728903973453"/>
  </r>
  <r>
    <s v="062109"/>
    <s v="Medina County Joint Vocational School District"/>
    <s v="Medina"/>
    <x v="3"/>
    <n v="1"/>
    <x v="4"/>
    <n v="1108.9327880000001"/>
    <n v="32713.517246000003"/>
    <n v="1306.27213044005"/>
    <n v="1.1779542859364438"/>
    <n v="10422.534387647023"/>
    <n v="43136.051633647025"/>
    <n v="0"/>
    <n v="0"/>
    <n v="43136.051633647025"/>
    <n v="38.898707027541711"/>
  </r>
  <r>
    <s v="010210"/>
    <s v="Northside Christian Academy"/>
    <s v="Medina"/>
    <x v="0"/>
    <n v="1"/>
    <x v="0"/>
    <n v="128"/>
    <n v="3776"/>
    <n v="132.42439999999999"/>
    <n v="1.0345656249999999"/>
    <n v="233.67596432887828"/>
    <n v="4009.6759643288783"/>
    <n v="0"/>
    <n v="0"/>
    <n v="4009.6759643288783"/>
    <n v="31.325593471319362"/>
  </r>
  <r>
    <s v="097527"/>
    <s v="Nurtury"/>
    <s v="Medina"/>
    <x v="0"/>
    <n v="1"/>
    <x v="0"/>
    <n v="16"/>
    <n v="472"/>
    <n v="16"/>
    <n v="1"/>
    <n v="0"/>
    <n v="472"/>
    <n v="0"/>
    <n v="0"/>
    <n v="472"/>
    <n v="29.5"/>
  </r>
  <r>
    <s v="057521"/>
    <s v="Sacred Heart Of Jesus"/>
    <s v="Medina"/>
    <x v="0"/>
    <n v="1"/>
    <x v="0"/>
    <n v="250"/>
    <n v="7375"/>
    <n v="279.30900000000003"/>
    <n v="1.1172360000000001"/>
    <n v="1547.9633031631663"/>
    <n v="8922.9633031631656"/>
    <n v="0"/>
    <n v="0"/>
    <n v="8922.9633031631656"/>
    <n v="35.69185321265266"/>
  </r>
  <r>
    <s v="057208"/>
    <s v="St Ambrose"/>
    <s v="Medina"/>
    <x v="0"/>
    <n v="1"/>
    <x v="0"/>
    <n v="475"/>
    <n v="14012.5"/>
    <n v="492.73859999999996"/>
    <n v="1.0373444210526315"/>
    <n v="936.86928416152239"/>
    <n v="14949.369284161523"/>
    <n v="0"/>
    <n v="0"/>
    <n v="14949.369284161523"/>
    <n v="31.472356387708469"/>
  </r>
  <r>
    <s v="060954"/>
    <s v="St Francis Xavier"/>
    <s v="Medina"/>
    <x v="0"/>
    <n v="1"/>
    <x v="0"/>
    <n v="406"/>
    <n v="11977"/>
    <n v="447.23359999999997"/>
    <n v="1.1015605911330049"/>
    <n v="2177.7644975027679"/>
    <n v="14154.764497502769"/>
    <n v="0"/>
    <n v="0"/>
    <n v="14154.764497502769"/>
    <n v="34.863951964292532"/>
  </r>
  <r>
    <s v="044974"/>
    <s v="Wadsworth City "/>
    <s v="Medina"/>
    <x v="1"/>
    <n v="1"/>
    <x v="10"/>
    <n v="4562.8619959999996"/>
    <n v="134604.42888199998"/>
    <n v="5332.4122602290099"/>
    <n v="1.1686551696947292"/>
    <n v="40644.019549149583"/>
    <n v="175248.44843114956"/>
    <n v="1915433.8514987696"/>
    <n v="38393.533971153272"/>
    <n v="213641.98240230285"/>
    <n v="46.821925052651288"/>
  </r>
  <r>
    <s v="048512"/>
    <s v="Eastern Local"/>
    <s v="Meigs"/>
    <x v="1"/>
    <n v="1"/>
    <x v="3"/>
    <n v="794.95545300000003"/>
    <n v="23451.185863500003"/>
    <n v="935.10827143788094"/>
    <n v="1.1763027323216322"/>
    <n v="7402.2115997382871"/>
    <n v="30853.397463238289"/>
    <n v="626574.77080618753"/>
    <n v="12559.253732302741"/>
    <n v="43412.651195541031"/>
    <n v="54.610168446182143"/>
  </r>
  <r>
    <n v="85662"/>
    <s v="Meigs County Board of DD"/>
    <s v="Meigs"/>
    <x v="2"/>
    <n v="1"/>
    <x v="2"/>
    <n v="12.510000000000002"/>
    <n v="369.04500000000007"/>
    <n v="64.351529999999997"/>
    <n v="5.1440071942446037"/>
    <n v="2738.0253853707832"/>
    <n v="3107.0703853707832"/>
    <n v="0"/>
    <n v="0"/>
    <n v="3107.0703853707832"/>
    <n v="248.36693727983877"/>
  </r>
  <r>
    <s v="048520"/>
    <s v="Meigs Local"/>
    <s v="Meigs"/>
    <x v="1"/>
    <n v="1"/>
    <x v="1"/>
    <n v="1726.752941"/>
    <n v="50939.211759500002"/>
    <n v="2401.4126683033801"/>
    <n v="1.3907100496453593"/>
    <n v="35632.348424978685"/>
    <n v="86571.560184478687"/>
    <n v="2062227.3813104948"/>
    <n v="41335.907767649573"/>
    <n v="127907.46795212827"/>
    <n v="74.073982974109938"/>
  </r>
  <r>
    <s v="048538"/>
    <s v="Southern Local"/>
    <s v="Meigs"/>
    <x v="1"/>
    <n v="1"/>
    <x v="1"/>
    <n v="724.23572999999999"/>
    <n v="21364.954034999999"/>
    <n v="899.41344774991001"/>
    <n v="1.2418794192188087"/>
    <n v="9252.0617765442457"/>
    <n v="30617.015811544246"/>
    <n v="614277.7056575889"/>
    <n v="12312.767648662326"/>
    <n v="42929.78346020657"/>
    <n v="59.275981123171832"/>
  </r>
  <r>
    <s v="043729"/>
    <s v="Celina City"/>
    <s v="Mercer"/>
    <x v="1"/>
    <n v="1"/>
    <x v="6"/>
    <n v="2667.4271180000001"/>
    <n v="78689.099981000007"/>
    <n v="3264.6638358619598"/>
    <n v="1.223899919826023"/>
    <n v="31543.229811727673"/>
    <n v="110232.32979272769"/>
    <n v="1679433.8845690908"/>
    <n v="33663.079437097811"/>
    <n v="143895.40922982548"/>
    <n v="53.945394893381852"/>
  </r>
  <r>
    <s v="045310"/>
    <s v="Coldwater Exempted Village"/>
    <s v="Mercer"/>
    <x v="1"/>
    <n v="1"/>
    <x v="7"/>
    <n v="1326.5219750000001"/>
    <n v="39132.398262500006"/>
    <n v="1485.7452711419801"/>
    <n v="1.1200306509373732"/>
    <n v="8409.4243896573116"/>
    <n v="47541.822652157316"/>
    <n v="440782.4454184944"/>
    <n v="8835.1763120512278"/>
    <n v="56376.998964208542"/>
    <n v="42.49986055768774"/>
  </r>
  <r>
    <s v="048595"/>
    <s v="Fort Recovery Local"/>
    <s v="Mercer"/>
    <x v="1"/>
    <n v="1"/>
    <x v="3"/>
    <n v="998.75383399999998"/>
    <n v="29463.238103"/>
    <n v="1119.5260569885299"/>
    <n v="1.1209229130113456"/>
    <n v="6378.6198515023762"/>
    <n v="35841.857954502375"/>
    <n v="484988.92084390548"/>
    <n v="9721.2642417713942"/>
    <n v="45563.122196273769"/>
    <n v="45.619972254618418"/>
  </r>
  <r>
    <s v="054411"/>
    <s v="Immaculate Conception"/>
    <s v="Mercer"/>
    <x v="0"/>
    <n v="1"/>
    <x v="0"/>
    <n v="127"/>
    <n v="3746.5"/>
    <n v="145.22280000000001"/>
    <n v="1.1434866141732285"/>
    <n v="962.44244706000654"/>
    <n v="4708.9424470600061"/>
    <n v="0"/>
    <n v="0"/>
    <n v="4708.9424470600061"/>
    <n v="37.078286984724457"/>
  </r>
  <r>
    <s v="048553"/>
    <s v="Marion Local"/>
    <s v="Mercer"/>
    <x v="1"/>
    <n v="1"/>
    <x v="3"/>
    <n v="836.380088"/>
    <n v="24673.212596000001"/>
    <n v="922.742085705676"/>
    <n v="1.1032568791925568"/>
    <n v="4561.2338611432633"/>
    <n v="29234.446457143265"/>
    <n v="534864.31722828373"/>
    <n v="10720.981733403911"/>
    <n v="39955.428190547173"/>
    <n v="47.771854882498317"/>
  </r>
  <r>
    <s v="048579"/>
    <s v="Parkway Local"/>
    <s v="Mercer"/>
    <x v="1"/>
    <n v="1"/>
    <x v="3"/>
    <n v="1001.560801"/>
    <n v="29546.0436295"/>
    <n v="1179.2943977549701"/>
    <n v="1.1774566222814566"/>
    <n v="9387.0512646590978"/>
    <n v="38933.094894159098"/>
    <n v="817175.87814347935"/>
    <n v="16379.719828674457"/>
    <n v="55312.814722833558"/>
    <n v="55.226616963849764"/>
  </r>
  <r>
    <s v="048587"/>
    <s v="St Henry Consolidated Local"/>
    <s v="Mercer"/>
    <x v="1"/>
    <n v="1"/>
    <x v="3"/>
    <n v="975.01945599999999"/>
    <n v="28763.073951999999"/>
    <n v="1064.84655466295"/>
    <n v="1.0921285191902366"/>
    <n v="4744.2441693631163"/>
    <n v="33507.318121363118"/>
    <n v="413861.01243214053"/>
    <n v="8295.5549875638608"/>
    <n v="41802.873108926979"/>
    <n v="42.873886107280896"/>
  </r>
  <r>
    <s v="048611"/>
    <s v="Bethel Local"/>
    <s v="Miami"/>
    <x v="1"/>
    <n v="1"/>
    <x v="7"/>
    <n v="1455.624695"/>
    <n v="42940.928502499999"/>
    <n v="1652.5537590048"/>
    <n v="1.1352883505489031"/>
    <n v="10400.865413548758"/>
    <n v="53341.793916048759"/>
    <n v="1138832.4140125813"/>
    <n v="22827.100471587659"/>
    <n v="76168.894387636421"/>
    <n v="52.327289203922462"/>
  </r>
  <r>
    <s v="045229"/>
    <s v="Bradford Exempted Village"/>
    <s v="Miami"/>
    <x v="1"/>
    <n v="1"/>
    <x v="1"/>
    <n v="457.36176499999999"/>
    <n v="13492.1720675"/>
    <n v="553.76303366541504"/>
    <n v="1.210776842409236"/>
    <n v="5091.4608574989106"/>
    <n v="18583.63292499891"/>
    <n v="165111.16621529739"/>
    <n v="3309.5380266687466"/>
    <n v="21893.170951667656"/>
    <n v="47.868389155065593"/>
  </r>
  <r>
    <s v="045336"/>
    <s v="Covington Exempted Village"/>
    <s v="Miami"/>
    <x v="1"/>
    <n v="1"/>
    <x v="7"/>
    <n v="755.09713099999999"/>
    <n v="22275.365364500001"/>
    <n v="851.81024355730597"/>
    <n v="1.1280803602434903"/>
    <n v="5107.9309827492689"/>
    <n v="27383.29634724927"/>
    <n v="313588.41536449589"/>
    <n v="6285.6608015130032"/>
    <n v="33668.957148762274"/>
    <n v="44.588908852260325"/>
  </r>
  <r>
    <s v="048629"/>
    <s v="Miami East Local"/>
    <s v="Miami"/>
    <x v="1"/>
    <n v="1"/>
    <x v="3"/>
    <n v="1276.948048"/>
    <n v="37669.967416"/>
    <n v="1419.5733410032001"/>
    <n v="1.1116923223513946"/>
    <n v="7532.7960582704245"/>
    <n v="45202.763474270425"/>
    <n v="1129110.4398360166"/>
    <n v="22632.230288249011"/>
    <n v="67834.993762519443"/>
    <n v="53.122751445342629"/>
  </r>
  <r>
    <s v="110684"/>
    <s v="Miami Montessori School, The"/>
    <s v="Miami"/>
    <x v="0"/>
    <n v="1"/>
    <x v="0"/>
    <n v="26"/>
    <n v="767"/>
    <n v="26"/>
    <n v="1"/>
    <n v="0"/>
    <n v="767"/>
    <n v="0"/>
    <n v="0"/>
    <n v="767"/>
    <n v="29.5"/>
  </r>
  <r>
    <s v="045518"/>
    <s v="Milton-Union Exempted Village"/>
    <s v="Miami"/>
    <x v="1"/>
    <n v="1"/>
    <x v="3"/>
    <n v="1372.8592550000001"/>
    <n v="40499.348022500002"/>
    <n v="1603.3666495079899"/>
    <n v="1.1679031507916591"/>
    <n v="12174.314640762997"/>
    <n v="52673.662663263"/>
    <n v="1026623.8700628388"/>
    <n v="20577.958565372966"/>
    <n v="73251.621228635966"/>
    <n v="53.356978118369433"/>
  </r>
  <r>
    <s v="048637"/>
    <s v="Newton Local"/>
    <s v="Miami"/>
    <x v="1"/>
    <n v="1"/>
    <x v="3"/>
    <n v="587.32707100000005"/>
    <n v="17326.148594500002"/>
    <n v="649.43556373976105"/>
    <n v="1.1057477099327522"/>
    <n v="3280.2779888746081"/>
    <n v="20606.42658337461"/>
    <n v="353901.12811579078"/>
    <n v="7093.7009775154884"/>
    <n v="27700.127560890098"/>
    <n v="47.163035604211231"/>
  </r>
  <r>
    <s v="122465"/>
    <s v="Nicholas School"/>
    <s v="Miami"/>
    <x v="0"/>
    <n v="1"/>
    <x v="0"/>
    <n v="33"/>
    <n v="973.5"/>
    <n v="58.808999999999997"/>
    <n v="1.7820909090909089"/>
    <n v="1363.109791918459"/>
    <n v="2336.609791918459"/>
    <n v="0"/>
    <n v="0"/>
    <n v="2336.609791918459"/>
    <n v="70.806357330862397"/>
  </r>
  <r>
    <s v="055368"/>
    <s v="Piqua Catholic Elementary"/>
    <s v="Miami"/>
    <x v="0"/>
    <n v="1"/>
    <x v="0"/>
    <n v="120"/>
    <n v="3540"/>
    <n v="127.4618"/>
    <n v="1.0621816666666666"/>
    <n v="394.09712291592683"/>
    <n v="3934.0971229159268"/>
    <n v="0"/>
    <n v="0"/>
    <n v="3934.0971229159268"/>
    <n v="32.784142690966057"/>
  </r>
  <r>
    <s v="019151"/>
    <s v="Piqua Christian School"/>
    <s v="Miami"/>
    <x v="0"/>
    <n v="1"/>
    <x v="0"/>
    <n v="25"/>
    <n v="737.5"/>
    <n v="25"/>
    <n v="1"/>
    <n v="0"/>
    <n v="737.5"/>
    <n v="0"/>
    <n v="0"/>
    <n v="737.5"/>
    <n v="29.5"/>
  </r>
  <r>
    <s v="044644"/>
    <s v="Piqua City"/>
    <s v="Miami"/>
    <x v="1"/>
    <n v="1"/>
    <x v="6"/>
    <n v="3170.851623"/>
    <n v="93540.122878499998"/>
    <n v="3877.3251844421002"/>
    <n v="1.2228024661632362"/>
    <n v="37312.605266892715"/>
    <n v="130852.72814539271"/>
    <n v="1899837.9750448747"/>
    <n v="38080.925518517855"/>
    <n v="168933.65366391058"/>
    <n v="53.277060471243175"/>
  </r>
  <r>
    <s v="070250"/>
    <s v="Piqua Seventh-Day Adventist"/>
    <s v="Miami"/>
    <x v="0"/>
    <n v="1"/>
    <x v="0"/>
    <n v="7"/>
    <n v="206.5"/>
    <n v="8.2374000000000009"/>
    <n v="1.1767714285714288"/>
    <n v="65.353638518342549"/>
    <n v="271.85363851834256"/>
    <n v="0"/>
    <n v="0"/>
    <n v="271.85363851834256"/>
    <n v="38.836234074048939"/>
  </r>
  <r>
    <s v="055434"/>
    <s v="St Patrick"/>
    <s v="Miami"/>
    <x v="0"/>
    <n v="1"/>
    <x v="0"/>
    <n v="141"/>
    <n v="4159.5"/>
    <n v="148.3244"/>
    <n v="1.0519460992907801"/>
    <n v="386.84030221734895"/>
    <n v="4546.3403022173488"/>
    <n v="0"/>
    <n v="0"/>
    <n v="4546.3403022173488"/>
    <n v="32.243548242676233"/>
  </r>
  <r>
    <s v="045617"/>
    <s v="Tipp City Exempted Village"/>
    <s v="Miami"/>
    <x v="1"/>
    <n v="1"/>
    <x v="10"/>
    <n v="2498.7672029999999"/>
    <n v="73713.632488499992"/>
    <n v="2876.4703570593501"/>
    <n v="1.1511557993901484"/>
    <n v="19948.501210305967"/>
    <n v="93662.133698805963"/>
    <n v="1337168.8814235288"/>
    <n v="26802.616458893805"/>
    <n v="120464.75015769977"/>
    <n v="48.209673159256596"/>
  </r>
  <r>
    <s v="090233"/>
    <s v="Troy Christian Elementary School"/>
    <s v="Miami"/>
    <x v="0"/>
    <n v="1"/>
    <x v="0"/>
    <n v="288"/>
    <n v="8496"/>
    <n v="298.3236"/>
    <n v="1.0358458333333334"/>
    <n v="545.24391676738367"/>
    <n v="9041.2439167673838"/>
    <n v="0"/>
    <n v="0"/>
    <n v="9041.2439167673838"/>
    <n v="31.393208044331192"/>
  </r>
  <r>
    <s v="125310"/>
    <s v="Troy Christian High School"/>
    <s v="Miami"/>
    <x v="0"/>
    <n v="1"/>
    <x v="0"/>
    <n v="343"/>
    <n v="10118.5"/>
    <n v="354.06099999999998"/>
    <n v="1.0322478134110786"/>
    <n v="584.18991082219577"/>
    <n v="10702.689910822195"/>
    <n v="0"/>
    <n v="0"/>
    <n v="10702.689910822195"/>
    <n v="31.203177582571996"/>
  </r>
  <r>
    <s v="044925"/>
    <s v="Troy City"/>
    <s v="Miami"/>
    <x v="1"/>
    <n v="1"/>
    <x v="10"/>
    <n v="4065.9266779999998"/>
    <n v="119944.83700099999"/>
    <n v="4755.48221544019"/>
    <n v="1.1695936970952407"/>
    <n v="36419.07494115692"/>
    <n v="156363.9119421569"/>
    <n v="2130217.9445753433"/>
    <n v="42698.73112925209"/>
    <n v="199062.64307140899"/>
    <n v="48.958739012314524"/>
  </r>
  <r>
    <s v="062125"/>
    <s v="Upper Valley Career Center"/>
    <s v="Miami"/>
    <x v="3"/>
    <n v="1"/>
    <x v="4"/>
    <n v="1295.2865360000001"/>
    <n v="38210.952812000003"/>
    <n v="1654.4603972104801"/>
    <n v="1.2772929782159643"/>
    <n v="18969.871254878803"/>
    <n v="57180.824066878806"/>
    <n v="0"/>
    <n v="0"/>
    <n v="57180.824066878806"/>
    <n v="44.145308761920766"/>
  </r>
  <r>
    <n v="66142"/>
    <s v="Monroe County Board of DD"/>
    <s v="Monroe"/>
    <x v="2"/>
    <n v="1"/>
    <x v="2"/>
    <n v="17.03"/>
    <n v="502.38500000000005"/>
    <n v="70.123768999999996"/>
    <n v="4.1176611274221955"/>
    <n v="2804.1627499615147"/>
    <n v="3306.5477499615149"/>
    <n v="0"/>
    <n v="0"/>
    <n v="3306.5477499615149"/>
    <n v="194.160173221463"/>
  </r>
  <r>
    <s v="058479"/>
    <s v="St Sylvester"/>
    <s v="Monroe"/>
    <x v="0"/>
    <n v="1"/>
    <x v="0"/>
    <n v="88"/>
    <n v="2596"/>
    <n v="100.1862"/>
    <n v="1.1384795454545455"/>
    <n v="643.61767392292336"/>
    <n v="3239.6176739229231"/>
    <n v="0"/>
    <n v="0"/>
    <n v="3239.6176739229231"/>
    <n v="36.813837203669578"/>
  </r>
  <r>
    <s v="048652"/>
    <s v="Switzerland of Ohio Local"/>
    <s v="Monroe"/>
    <x v="1"/>
    <n v="1"/>
    <x v="1"/>
    <n v="2054.2874969999998"/>
    <n v="60601.481161499993"/>
    <n v="2583.4450889371101"/>
    <n v="1.2575869213583157"/>
    <n v="27947.611106105134"/>
    <n v="88549.092267605127"/>
    <n v="4117765.5657531945"/>
    <n v="82537.735255271473"/>
    <n v="171086.82752287661"/>
    <n v="83.282806215159781"/>
  </r>
  <r>
    <s v="096263"/>
    <s v="Alexandria Montessori"/>
    <s v="Montgomery"/>
    <x v="0"/>
    <n v="1"/>
    <x v="0"/>
    <n v="17"/>
    <n v="501.5"/>
    <n v="17"/>
    <n v="1"/>
    <n v="0"/>
    <n v="501.5"/>
    <n v="0"/>
    <n v="0"/>
    <n v="501.5"/>
    <n v="29.5"/>
  </r>
  <r>
    <s v="052621"/>
    <s v="Archbishop Alter"/>
    <s v="Montgomery"/>
    <x v="0"/>
    <n v="1"/>
    <x v="0"/>
    <n v="572"/>
    <n v="16874"/>
    <n v="586.01059999999995"/>
    <n v="1.0244940559440558"/>
    <n v="739.9738870414468"/>
    <n v="17613.973887041448"/>
    <n v="0"/>
    <n v="0"/>
    <n v="17613.973887041448"/>
    <n v="30.793660641680852"/>
  </r>
  <r>
    <s v="054239"/>
    <s v="Ascension"/>
    <s v="Montgomery"/>
    <x v="0"/>
    <n v="1"/>
    <x v="0"/>
    <n v="269"/>
    <n v="7935.5"/>
    <n v="291.29840000000002"/>
    <n v="1.0828936802973979"/>
    <n v="1177.6964386111276"/>
    <n v="9113.1964386111285"/>
    <n v="0"/>
    <n v="0"/>
    <n v="9113.1964386111285"/>
    <n v="33.878053675134304"/>
  </r>
  <r>
    <s v="065755"/>
    <s v="Bishop Leibold E And W Campus"/>
    <s v="Montgomery"/>
    <x v="0"/>
    <n v="1"/>
    <x v="0"/>
    <n v="307"/>
    <n v="9056.5"/>
    <n v="330.8098"/>
    <n v="1.077556351791531"/>
    <n v="1257.5214662954832"/>
    <n v="10314.021466295482"/>
    <n v="0"/>
    <n v="0"/>
    <n v="10314.021466295482"/>
    <n v="33.596161127998315"/>
  </r>
  <r>
    <s v="048678"/>
    <s v="Brookville Local"/>
    <s v="Montgomery"/>
    <x v="1"/>
    <n v="1"/>
    <x v="7"/>
    <n v="1464.3729020000001"/>
    <n v="43199.000609000002"/>
    <n v="1711.5884555605301"/>
    <n v="1.1688200821135721"/>
    <n v="13056.760888562159"/>
    <n v="56255.761497562162"/>
    <n v="788542.04407852865"/>
    <n v="15805.774620367294"/>
    <n v="72061.536117929456"/>
    <n v="49.209826280935545"/>
  </r>
  <r>
    <s v="052803"/>
    <s v="Carroll"/>
    <s v="Montgomery"/>
    <x v="0"/>
    <n v="1"/>
    <x v="0"/>
    <n v="735"/>
    <n v="21682.5"/>
    <n v="788.10739999999998"/>
    <n v="1.0722549659863945"/>
    <n v="2804.8826751648789"/>
    <n v="24487.382675164878"/>
    <n v="0"/>
    <n v="0"/>
    <n v="24487.382675164878"/>
    <n v="33.316166904986225"/>
  </r>
  <r>
    <s v="013257"/>
    <s v="Center for Adolescent Services"/>
    <s v="Montgomery"/>
    <x v="0"/>
    <n v="1"/>
    <x v="0"/>
    <n v="25"/>
    <n v="737.5"/>
    <n v="25"/>
    <n v="1"/>
    <n v="0"/>
    <n v="737.5"/>
    <n v="0"/>
    <n v="0"/>
    <n v="737.5"/>
    <n v="29.5"/>
  </r>
  <r>
    <s v="043737"/>
    <s v="Centerville City"/>
    <s v="Montgomery"/>
    <x v="1"/>
    <n v="1"/>
    <x v="11"/>
    <n v="8011.5367910000004"/>
    <n v="236340.33533450001"/>
    <n v="9503.8268709179902"/>
    <n v="1.1862676436304205"/>
    <n v="78815.731733852212"/>
    <n v="315156.06706835225"/>
    <n v="5660456.0447389903"/>
    <n v="113459.88861784816"/>
    <n v="428615.95568620041"/>
    <n v="53.499842398239871"/>
  </r>
  <r>
    <s v="052878"/>
    <s v="Chaminade-Julienne"/>
    <s v="Montgomery"/>
    <x v="0"/>
    <n v="1"/>
    <x v="0"/>
    <n v="694"/>
    <n v="20473"/>
    <n v="774.55160000000001"/>
    <n v="1.1160685878962535"/>
    <n v="4254.3560275368654"/>
    <n v="24727.356027536865"/>
    <n v="0"/>
    <n v="0"/>
    <n v="24727.356027536865"/>
    <n v="35.630196005096344"/>
  </r>
  <r>
    <s v="134247"/>
    <s v="City Day Community School"/>
    <s v="Montgomery"/>
    <x v="4"/>
    <n v="1"/>
    <x v="8"/>
    <n v="158.75595300000001"/>
    <n v="4683.3006135000005"/>
    <n v="205.275732182876"/>
    <n v="1.2930269908233047"/>
    <n v="2456.9555783665683"/>
    <n v="7140.2561918665688"/>
    <n v="0"/>
    <n v="0"/>
    <n v="7140.2561918665688"/>
    <n v="44.976305183759429"/>
  </r>
  <r>
    <s v="009374"/>
    <s v="Creative World of Montessori"/>
    <s v="Montgomery"/>
    <x v="0"/>
    <n v="1"/>
    <x v="0"/>
    <n v="27"/>
    <n v="796.5"/>
    <n v="27"/>
    <n v="1"/>
    <n v="0"/>
    <n v="796.5"/>
    <n v="0"/>
    <n v="0"/>
    <n v="796.5"/>
    <n v="29.5"/>
  </r>
  <r>
    <s v="016119"/>
    <s v="Creative World of Montessori-Wilmington Pike"/>
    <s v="Montgomery"/>
    <x v="0"/>
    <n v="1"/>
    <x v="0"/>
    <n v="76"/>
    <n v="2242"/>
    <n v="76"/>
    <n v="1"/>
    <n v="0"/>
    <n v="2242"/>
    <n v="0"/>
    <n v="0"/>
    <n v="2242"/>
    <n v="29.5"/>
  </r>
  <r>
    <s v="008283"/>
    <s v="Dayton Business Technology High School"/>
    <s v="Montgomery"/>
    <x v="4"/>
    <n v="1"/>
    <x v="8"/>
    <n v="117.808088"/>
    <n v="3475.3385960000001"/>
    <n v="156.12684184629899"/>
    <n v="1.3252642029662598"/>
    <n v="2023.8160557171248"/>
    <n v="5499.1546517171246"/>
    <n v="0"/>
    <n v="0"/>
    <n v="5499.1546517171246"/>
    <n v="46.678922857292484"/>
  </r>
  <r>
    <s v="066555"/>
    <s v="Dayton Christian School"/>
    <s v="Montgomery"/>
    <x v="0"/>
    <n v="1"/>
    <x v="0"/>
    <n v="655"/>
    <n v="19322.5"/>
    <n v="655"/>
    <n v="1"/>
    <n v="0"/>
    <n v="19322.5"/>
    <n v="0"/>
    <n v="0"/>
    <n v="19322.5"/>
    <n v="29.5"/>
  </r>
  <r>
    <s v="043844"/>
    <s v="Dayton City"/>
    <s v="Montgomery"/>
    <x v="1"/>
    <n v="1"/>
    <x v="13"/>
    <n v="12699.563876"/>
    <n v="374637.134342"/>
    <n v="18572.449905682199"/>
    <n v="1.4624478515188184"/>
    <n v="310178.17249335226"/>
    <n v="684815.30683535221"/>
    <n v="9112064.179905666"/>
    <n v="182644.96336680817"/>
    <n v="867460.27020216035"/>
    <n v="68.306303954383154"/>
  </r>
  <r>
    <s v="009283"/>
    <s v="Dayton Early College Academy, Inc"/>
    <s v="Montgomery"/>
    <x v="4"/>
    <n v="1"/>
    <x v="8"/>
    <n v="341.73364400000003"/>
    <n v="10081.142498000001"/>
    <n v="390.51028953297703"/>
    <n v="1.1427329336440077"/>
    <n v="2576.1526267169097"/>
    <n v="12657.295124716911"/>
    <n v="0"/>
    <n v="0"/>
    <n v="12657.295124716911"/>
    <n v="37.038481129814983"/>
  </r>
  <r>
    <s v="133454"/>
    <s v="Dayton Leadership Academies-Dayton View Campus"/>
    <s v="Montgomery"/>
    <x v="4"/>
    <n v="1"/>
    <x v="8"/>
    <n v="434.60389500000002"/>
    <n v="12820.8149025"/>
    <n v="580.95062251535796"/>
    <n v="1.3367358857088889"/>
    <n v="7729.3446972531692"/>
    <n v="20550.159599753169"/>
    <n v="0"/>
    <n v="0"/>
    <n v="20550.159599753169"/>
    <n v="47.284803095823996"/>
  </r>
  <r>
    <s v="096289"/>
    <s v="Dayton Montessori Society"/>
    <s v="Montgomery"/>
    <x v="0"/>
    <n v="1"/>
    <x v="0"/>
    <n v="31"/>
    <n v="914.5"/>
    <n v="31"/>
    <n v="1"/>
    <n v="0"/>
    <n v="914.5"/>
    <n v="0"/>
    <n v="0"/>
    <n v="914.5"/>
    <n v="29.5"/>
  </r>
  <r>
    <s v="011506"/>
    <s v="Dayton Regional STEM School"/>
    <s v="Montgomery"/>
    <x v="5"/>
    <n v="1"/>
    <x v="12"/>
    <n v="652.37714500000004"/>
    <n v="19245.125777500001"/>
    <n v="694.61532518560102"/>
    <n v="1.0647450336194733"/>
    <n v="2230.8216902556837"/>
    <n v="21475.947467755686"/>
    <n v="0"/>
    <n v="0"/>
    <n v="21475.947467755686"/>
    <n v="32.919527657204611"/>
  </r>
  <r>
    <s v="014149"/>
    <s v="Dayton SMART Elementary School"/>
    <s v="Montgomery"/>
    <x v="4"/>
    <n v="1"/>
    <x v="8"/>
    <n v="109.543516"/>
    <n v="3231.5337220000001"/>
    <n v="159.158281361771"/>
    <n v="1.4529228855660521"/>
    <n v="2620.4181676301623"/>
    <n v="5851.9518896301624"/>
    <n v="47654.39"/>
    <n v="955.1989696266271"/>
    <n v="6807.1508592567898"/>
    <n v="62.141066014868372"/>
  </r>
  <r>
    <s v="012924"/>
    <s v="DECA PREP"/>
    <s v="Montgomery"/>
    <x v="4"/>
    <n v="1"/>
    <x v="8"/>
    <n v="904.61223600000005"/>
    <n v="26686.060962000003"/>
    <n v="1091.0663356280299"/>
    <n v="1.2061149431854798"/>
    <n v="9847.6271434889968"/>
    <n v="36533.688105488996"/>
    <n v="0"/>
    <n v="0"/>
    <n v="36533.688105488996"/>
    <n v="40.386020276525414"/>
  </r>
  <r>
    <s v="015521"/>
    <s v="Dominion Academy of Dayton"/>
    <s v="Montgomery"/>
    <x v="0"/>
    <n v="1"/>
    <x v="0"/>
    <n v="100"/>
    <n v="2950"/>
    <n v="100"/>
    <n v="1"/>
    <n v="0"/>
    <n v="2950"/>
    <n v="0"/>
    <n v="0"/>
    <n v="2950"/>
    <n v="29.5"/>
  </r>
  <r>
    <s v="097923"/>
    <s v="East Dayton Christian"/>
    <s v="Montgomery"/>
    <x v="0"/>
    <n v="1"/>
    <x v="0"/>
    <n v="370"/>
    <n v="10915"/>
    <n v="370"/>
    <n v="1"/>
    <n v="0"/>
    <n v="10915"/>
    <n v="0"/>
    <n v="0"/>
    <n v="10915"/>
    <n v="29.5"/>
  </r>
  <r>
    <s v="000577"/>
    <s v="Emerson Academy "/>
    <s v="Montgomery"/>
    <x v="4"/>
    <n v="1"/>
    <x v="8"/>
    <n v="632.75000899999998"/>
    <n v="18666.125265499999"/>
    <n v="854.10104285691"/>
    <n v="1.3498238335969901"/>
    <n v="11690.718807455867"/>
    <n v="30356.844072955864"/>
    <n v="0"/>
    <n v="0"/>
    <n v="30356.844072955864"/>
    <n v="47.976046844996354"/>
  </r>
  <r>
    <s v="119313"/>
    <s v="Gloria Dei Montessori"/>
    <s v="Montgomery"/>
    <x v="0"/>
    <n v="1"/>
    <x v="0"/>
    <n v="53"/>
    <n v="1563.5"/>
    <n v="67.898400000000009"/>
    <n v="1.2811018867924531"/>
    <n v="786.86330055089263"/>
    <n v="2350.3633005508927"/>
    <n v="0"/>
    <n v="0"/>
    <n v="2350.3633005508927"/>
    <n v="44.34647736888477"/>
  </r>
  <r>
    <s v="062521"/>
    <s v="Hillel Academy Of Dayton"/>
    <s v="Montgomery"/>
    <x v="0"/>
    <n v="1"/>
    <x v="0"/>
    <n v="31"/>
    <n v="914.5"/>
    <n v="32.474800000000002"/>
    <n v="1.0475741935483871"/>
    <n v="77.891988109626354"/>
    <n v="992.39198810962637"/>
    <n v="0"/>
    <n v="0"/>
    <n v="992.39198810962637"/>
    <n v="32.012644777729882"/>
  </r>
  <r>
    <s v="054338"/>
    <s v="Holy Angels"/>
    <s v="Montgomery"/>
    <x v="0"/>
    <n v="1"/>
    <x v="0"/>
    <n v="290"/>
    <n v="8555"/>
    <n v="313.19760000000002"/>
    <n v="1.0799917241379311"/>
    <n v="1225.1879464143392"/>
    <n v="9780.1879464143385"/>
    <n v="0"/>
    <n v="0"/>
    <n v="9780.1879464143385"/>
    <n v="33.724786022118408"/>
  </r>
  <r>
    <s v="011976"/>
    <s v="Horizon Science Academy Dayton Downtown "/>
    <s v="Montgomery"/>
    <x v="4"/>
    <n v="1"/>
    <x v="8"/>
    <n v="218.545456"/>
    <n v="6447.0909520000005"/>
    <n v="302.03540242608301"/>
    <n v="1.3820255426682631"/>
    <n v="4409.5456429982296"/>
    <n v="10856.63659499823"/>
    <n v="0"/>
    <n v="0"/>
    <n v="10856.63659499823"/>
    <n v="49.676789413540725"/>
  </r>
  <r>
    <s v="011534"/>
    <s v="Horizon Science Academy Dayton High School"/>
    <s v="Montgomery"/>
    <x v="4"/>
    <n v="1"/>
    <x v="8"/>
    <n v="310.32772799999998"/>
    <n v="9154.6679759999988"/>
    <n v="425.41147704094499"/>
    <n v="1.3708458466880697"/>
    <n v="6078.1814564066308"/>
    <n v="15232.849432406631"/>
    <n v="0"/>
    <n v="0"/>
    <n v="15232.849432406631"/>
    <n v="49.086330540230136"/>
  </r>
  <r>
    <s v="000808"/>
    <s v="Horizon Science Academy-Dayton"/>
    <s v="Montgomery"/>
    <x v="4"/>
    <n v="1"/>
    <x v="8"/>
    <n v="162.45087100000001"/>
    <n v="4792.3006944999997"/>
    <n v="209.74389013439199"/>
    <n v="1.291121979483828"/>
    <n v="2497.7944698158303"/>
    <n v="7290.0951643158296"/>
    <n v="0"/>
    <n v="0"/>
    <n v="7290.0951643158296"/>
    <n v="44.875691459455638"/>
  </r>
  <r>
    <s v="048751"/>
    <s v="Huber Heights City"/>
    <s v="Montgomery"/>
    <x v="1"/>
    <n v="1"/>
    <x v="9"/>
    <n v="5830.1375600000001"/>
    <n v="171989.05802"/>
    <n v="7422.3854703636198"/>
    <n v="1.2731064051194736"/>
    <n v="84095.033429360119"/>
    <n v="256084.09144936013"/>
    <n v="1927549.8710084469"/>
    <n v="38636.391121388951"/>
    <n v="294720.48257074907"/>
    <n v="50.551205616964729"/>
  </r>
  <r>
    <s v="054429"/>
    <s v="Immaculate Conception"/>
    <s v="Montgomery"/>
    <x v="0"/>
    <n v="1"/>
    <x v="0"/>
    <n v="306"/>
    <n v="9027"/>
    <n v="372.69880000000001"/>
    <n v="1.2179699346405228"/>
    <n v="3522.7163930881065"/>
    <n v="12549.716393088107"/>
    <n v="0"/>
    <n v="0"/>
    <n v="12549.716393088107"/>
    <n v="41.012145075451329"/>
  </r>
  <r>
    <s v="054445"/>
    <s v="Incarnation"/>
    <s v="Montgomery"/>
    <x v="0"/>
    <n v="1"/>
    <x v="0"/>
    <n v="826"/>
    <n v="24367"/>
    <n v="865.81960000000004"/>
    <n v="1.0482077481840195"/>
    <n v="2103.0836789599107"/>
    <n v="26470.083678959913"/>
    <n v="0"/>
    <n v="0"/>
    <n v="26470.083678959913"/>
    <n v="32.046106148861881"/>
  </r>
  <r>
    <s v="048686"/>
    <s v="Jefferson Township Local"/>
    <s v="Montgomery"/>
    <x v="1"/>
    <n v="1"/>
    <x v="6"/>
    <n v="338.13843200000002"/>
    <n v="9975.0837440000014"/>
    <n v="493.59991056288601"/>
    <n v="1.4597569038318778"/>
    <n v="8210.7429073265739"/>
    <n v="18185.826651326577"/>
    <n v="592762.26033889875"/>
    <n v="11881.50557187421"/>
    <n v="30067.332223200785"/>
    <n v="88.920185869912544"/>
  </r>
  <r>
    <s v="044180"/>
    <s v="Kettering City School District"/>
    <s v="Montgomery"/>
    <x v="1"/>
    <n v="1"/>
    <x v="10"/>
    <n v="7598.1364110000004"/>
    <n v="224145.02412450002"/>
    <n v="9371.5061948134098"/>
    <n v="1.2333953601104162"/>
    <n v="93661.037506620924"/>
    <n v="317806.06163112097"/>
    <n v="2893135.8459848827"/>
    <n v="57990.887703622277"/>
    <n v="375796.94933474326"/>
    <n v="49.45909483681988"/>
  </r>
  <r>
    <s v="009957"/>
    <s v="Klepinger Community School"/>
    <s v="Montgomery"/>
    <x v="4"/>
    <n v="1"/>
    <x v="8"/>
    <n v="569.39227900000003"/>
    <n v="16797.072230500002"/>
    <n v="737.25251003788298"/>
    <n v="1.294805948778738"/>
    <n v="8865.5866016286236"/>
    <n v="25662.658832128625"/>
    <n v="247602.98"/>
    <n v="4963.0288284559383"/>
    <n v="30625.687660584565"/>
    <n v="53.786622667892836"/>
  </r>
  <r>
    <s v="016849"/>
    <s v="Liberty High School"/>
    <s v="Montgomery"/>
    <x v="4"/>
    <n v="1"/>
    <x v="8"/>
    <n v="137.787508"/>
    <n v="4064.7314860000001"/>
    <n v="190.59012377869999"/>
    <n v="1.3832177281172686"/>
    <n v="2788.785408456511"/>
    <n v="6853.5168944565112"/>
    <n v="0"/>
    <n v="0"/>
    <n v="6853.5168944565112"/>
    <n v="49.739755032484595"/>
  </r>
  <r>
    <s v="000813"/>
    <s v="Life Skills Center of Dayton"/>
    <s v="Montgomery"/>
    <x v="4"/>
    <n v="1"/>
    <x v="8"/>
    <n v="123.41847300000001"/>
    <n v="3640.8449535"/>
    <n v="174.839490351233"/>
    <n v="1.4166395524212407"/>
    <n v="2715.8158883286715"/>
    <n v="6356.6608418286714"/>
    <n v="0"/>
    <n v="0"/>
    <n v="6356.6608418286714"/>
    <n v="51.50493833956827"/>
  </r>
  <r>
    <s v="048702"/>
    <s v="Mad River Local"/>
    <s v="Montgomery"/>
    <x v="1"/>
    <n v="1"/>
    <x v="9"/>
    <n v="3885.6357659999999"/>
    <n v="114626.255097"/>
    <n v="4897.0027145895601"/>
    <n v="1.2602835184499792"/>
    <n v="53415.6376010354"/>
    <n v="168041.8926980354"/>
    <n v="2058941.000625931"/>
    <n v="41270.034561766632"/>
    <n v="209311.92725980203"/>
    <n v="53.868128631952182"/>
  </r>
  <r>
    <s v="132944"/>
    <s v="Miami Valley Academies"/>
    <s v="Montgomery"/>
    <x v="4"/>
    <n v="1"/>
    <x v="8"/>
    <n v="124.050614"/>
    <n v="3659.493113"/>
    <n v="185.906217764681"/>
    <n v="1.4986319839148963"/>
    <n v="3266.9215845892904"/>
    <n v="6926.4146975892909"/>
    <n v="0"/>
    <n v="0"/>
    <n v="6926.4146975892909"/>
    <n v="55.835392298737766"/>
  </r>
  <r>
    <s v="051284"/>
    <s v="Miami Valley Career Tech"/>
    <s v="Montgomery"/>
    <x v="3"/>
    <n v="1"/>
    <x v="4"/>
    <n v="2026.2591629999999"/>
    <n v="59774.645308499996"/>
    <n v="2409.4064579091601"/>
    <n v="1.189090962254743"/>
    <n v="20236.035082248276"/>
    <n v="80010.680390748268"/>
    <n v="0"/>
    <n v="0"/>
    <n v="80010.680390748268"/>
    <n v="39.486893804979807"/>
  </r>
  <r>
    <s v="044396"/>
    <s v="Miamisburg City"/>
    <s v="Montgomery"/>
    <x v="1"/>
    <n v="1"/>
    <x v="10"/>
    <n v="5092.6926080000003"/>
    <n v="150234.43193600001"/>
    <n v="6392.5086793015698"/>
    <n v="1.255231597772015"/>
    <n v="68650.161357826801"/>
    <n v="218884.59329382679"/>
    <n v="2767961.6206933362"/>
    <n v="55481.857769081165"/>
    <n v="274366.45106290793"/>
    <n v="53.874535963924394"/>
  </r>
  <r>
    <s v="122473"/>
    <s v="Montessori Center of South Dayton"/>
    <s v="Montgomery"/>
    <x v="0"/>
    <n v="1"/>
    <x v="0"/>
    <n v="114"/>
    <n v="3363"/>
    <n v="114"/>
    <n v="1"/>
    <n v="0"/>
    <n v="3363"/>
    <n v="0"/>
    <n v="0"/>
    <n v="3363"/>
    <n v="29.5"/>
  </r>
  <r>
    <s v="013258"/>
    <s v="Montgomery County Juvenile Court Detention Center"/>
    <s v="Montgomery"/>
    <x v="0"/>
    <n v="1"/>
    <x v="0"/>
    <n v="68"/>
    <n v="2006"/>
    <n v="71"/>
    <n v="1.0441176470588236"/>
    <n v="158.44586678117625"/>
    <n v="2164.4458667811764"/>
    <n v="0"/>
    <n v="0"/>
    <n v="2164.4458667811764"/>
    <n v="31.830086276193772"/>
  </r>
  <r>
    <s v="017259"/>
    <s v="Montgomery Preparatory Academy"/>
    <s v="Montgomery"/>
    <x v="4"/>
    <n v="1"/>
    <x v="8"/>
    <n v="199.14371499999999"/>
    <n v="5874.7395924999992"/>
    <n v="260.01275947089403"/>
    <n v="1.3056538564166791"/>
    <n v="3214.8161704442564"/>
    <n v="9089.5557629442555"/>
    <n v="0"/>
    <n v="0"/>
    <n v="9089.5557629442555"/>
    <n v="45.643196738316625"/>
  </r>
  <r>
    <s v="054601"/>
    <s v="Mother Maria Anna Brunner Catholic"/>
    <s v="Montgomery"/>
    <x v="0"/>
    <n v="1"/>
    <x v="0"/>
    <n v="189"/>
    <n v="5575.5"/>
    <n v="207.76159999999999"/>
    <n v="1.0992677248677247"/>
    <n v="990.89932473390479"/>
    <n v="6566.3993247339049"/>
    <n v="0"/>
    <n v="0"/>
    <n v="6566.3993247339049"/>
    <n v="34.742853570020664"/>
  </r>
  <r>
    <s v="048710"/>
    <s v="New Lebanon Local"/>
    <s v="Montgomery"/>
    <x v="1"/>
    <n v="1"/>
    <x v="1"/>
    <n v="1104.0130650000001"/>
    <n v="32568.385417500001"/>
    <n v="1362.5771195155901"/>
    <n v="1.2342037994954254"/>
    <n v="13656.135245392654"/>
    <n v="46224.520662892653"/>
    <n v="533078.30130146386"/>
    <n v="10685.182291358069"/>
    <n v="56909.702954250723"/>
    <n v="51.548033948539114"/>
  </r>
  <r>
    <s v="088377"/>
    <s v="Nicholas-Liberty"/>
    <s v="Montgomery"/>
    <x v="0"/>
    <n v="1"/>
    <x v="0"/>
    <n v="11"/>
    <n v="324.5"/>
    <n v="11"/>
    <n v="1"/>
    <n v="0"/>
    <n v="324.5"/>
    <n v="0"/>
    <n v="0"/>
    <n v="324.5"/>
    <n v="29.5"/>
  </r>
  <r>
    <s v="143529"/>
    <s v="North Dayton School Of Science &amp; Discovery"/>
    <s v="Montgomery"/>
    <x v="4"/>
    <n v="1"/>
    <x v="8"/>
    <n v="620.95238500000005"/>
    <n v="18318.095357500002"/>
    <n v="825.47229439199202"/>
    <n v="1.3293648826101085"/>
    <n v="10801.778105873933"/>
    <n v="29119.873463373937"/>
    <n v="0"/>
    <n v="0"/>
    <n v="29119.873463373937"/>
    <n v="46.89550143747968"/>
  </r>
  <r>
    <s v="048728"/>
    <s v="Northmont City"/>
    <s v="Montgomery"/>
    <x v="1"/>
    <n v="1"/>
    <x v="10"/>
    <n v="4931.1751119999999"/>
    <n v="145469.66580399999"/>
    <n v="5929.3815844027504"/>
    <n v="1.2024277073376726"/>
    <n v="52720.56324881137"/>
    <n v="198190.22905281137"/>
    <n v="2778976.1802390497"/>
    <n v="55702.636923508631"/>
    <n v="253892.86597632"/>
    <n v="51.487294652845009"/>
  </r>
  <r>
    <s v="048736"/>
    <s v="Northridge Local"/>
    <s v="Montgomery"/>
    <x v="1"/>
    <n v="1"/>
    <x v="6"/>
    <n v="1544.523717"/>
    <n v="45563.449651499999"/>
    <n v="2140.61881932806"/>
    <n v="1.3859410482125085"/>
    <n v="31482.935057461138"/>
    <n v="77046.384708961137"/>
    <n v="951422.96770340588"/>
    <n v="19070.608991729849"/>
    <n v="96116.993700690989"/>
    <n v="62.230830541976708"/>
  </r>
  <r>
    <s v="044586"/>
    <s v="Oakwood City"/>
    <s v="Montgomery"/>
    <x v="1"/>
    <n v="1"/>
    <x v="11"/>
    <n v="2033.315707"/>
    <n v="59982.813356500003"/>
    <n v="2285.1937737846501"/>
    <n v="1.1238755329128287"/>
    <n v="13303.0128716203"/>
    <n v="73285.826228120306"/>
    <n v="0"/>
    <n v="0"/>
    <n v="73285.826228120306"/>
    <n v="36.042522061784432"/>
  </r>
  <r>
    <s v="054544"/>
    <s v="Our Lady Of Rosary"/>
    <s v="Montgomery"/>
    <x v="0"/>
    <n v="1"/>
    <x v="0"/>
    <n v="180"/>
    <n v="5310"/>
    <n v="228.53759999999997"/>
    <n v="1.2696533333333331"/>
    <n v="2563.527367826005"/>
    <n v="7873.5273678260055"/>
    <n v="0"/>
    <n v="0"/>
    <n v="7873.5273678260055"/>
    <n v="43.741818710144472"/>
  </r>
  <r>
    <s v="000138"/>
    <s v="Pathway School of Discovery"/>
    <s v="Montgomery"/>
    <x v="4"/>
    <n v="1"/>
    <x v="8"/>
    <n v="744.81381999999996"/>
    <n v="21972.007689999999"/>
    <n v="983.93936202545297"/>
    <n v="1.3210541152760202"/>
    <n v="12629.48459191383"/>
    <n v="34601.49228191383"/>
    <n v="0"/>
    <n v="0"/>
    <n v="34601.49228191383"/>
    <n v="46.45656585952424"/>
  </r>
  <r>
    <s v="133348"/>
    <s v="Richard Allen Preparatory"/>
    <s v="Montgomery"/>
    <x v="4"/>
    <n v="1"/>
    <x v="8"/>
    <n v="364.44047799999998"/>
    <n v="10750.994101"/>
    <n v="452.34371238474802"/>
    <n v="1.2412005243411739"/>
    <n v="4642.6347216534332"/>
    <n v="15393.628822653434"/>
    <n v="0"/>
    <n v="0"/>
    <n v="15393.628822653434"/>
    <n v="42.239075382437171"/>
  </r>
  <r>
    <s v="097931"/>
    <s v="Salem Christian Academy, LLC"/>
    <s v="Montgomery"/>
    <x v="0"/>
    <n v="1"/>
    <x v="0"/>
    <n v="123"/>
    <n v="3628.5"/>
    <n v="123"/>
    <n v="1"/>
    <n v="0"/>
    <n v="3628.5"/>
    <n v="0"/>
    <n v="0"/>
    <n v="3628.5"/>
    <n v="29.5"/>
  </r>
  <r>
    <s v="052936"/>
    <s v="Spring Valley Academy"/>
    <s v="Montgomery"/>
    <x v="0"/>
    <n v="1"/>
    <x v="0"/>
    <n v="429"/>
    <n v="12655.5"/>
    <n v="429"/>
    <n v="1"/>
    <n v="0"/>
    <n v="12655.5"/>
    <n v="0"/>
    <n v="0"/>
    <n v="12655.5"/>
    <n v="29.5"/>
  </r>
  <r>
    <s v="054692"/>
    <s v="St Albert The Great"/>
    <s v="Montgomery"/>
    <x v="0"/>
    <n v="1"/>
    <x v="0"/>
    <n v="266"/>
    <n v="7847"/>
    <n v="289.96019999999999"/>
    <n v="1.090075939849624"/>
    <n v="1265.4648857501124"/>
    <n v="9112.4648857501124"/>
    <n v="0"/>
    <n v="0"/>
    <n v="9112.4648857501124"/>
    <n v="34.257386788534255"/>
  </r>
  <r>
    <s v="054775"/>
    <s v="St Anthony"/>
    <s v="Montgomery"/>
    <x v="0"/>
    <n v="1"/>
    <x v="0"/>
    <n v="194"/>
    <n v="5723"/>
    <n v="232.2816"/>
    <n v="1.1973278350515464"/>
    <n v="2021.8537645900919"/>
    <n v="7744.8537645900924"/>
    <n v="0"/>
    <n v="0"/>
    <n v="7744.8537645900924"/>
    <n v="39.921926621598416"/>
  </r>
  <r>
    <s v="054916"/>
    <s v="St Charles Borromeo"/>
    <s v="Montgomery"/>
    <x v="0"/>
    <n v="1"/>
    <x v="0"/>
    <n v="398"/>
    <n v="11741"/>
    <n v="415.85159999999996"/>
    <n v="1.0448532663316581"/>
    <n v="942.83741181028006"/>
    <n v="12683.83741181028"/>
    <n v="0"/>
    <n v="0"/>
    <n v="12683.83741181028"/>
    <n v="31.868938220628845"/>
  </r>
  <r>
    <s v="054932"/>
    <s v="St Christopher"/>
    <s v="Montgomery"/>
    <x v="0"/>
    <n v="1"/>
    <x v="0"/>
    <n v="250"/>
    <n v="7375"/>
    <n v="263.8236"/>
    <n v="1.0552944"/>
    <n v="730.09742801208927"/>
    <n v="8105.097428012089"/>
    <n v="0"/>
    <n v="0"/>
    <n v="8105.097428012089"/>
    <n v="32.420389712048355"/>
  </r>
  <r>
    <s v="055053"/>
    <s v="St Helen"/>
    <s v="Montgomery"/>
    <x v="0"/>
    <n v="1"/>
    <x v="0"/>
    <n v="393"/>
    <n v="11593.5"/>
    <n v="452.75760000000002"/>
    <n v="1.1520549618320612"/>
    <n v="3156.1149095876076"/>
    <n v="14749.614909587608"/>
    <n v="0"/>
    <n v="0"/>
    <n v="14749.614909587608"/>
    <n v="37.530826741953199"/>
  </r>
  <r>
    <s v="055442"/>
    <s v="St Peter"/>
    <s v="Montgomery"/>
    <x v="0"/>
    <n v="1"/>
    <x v="0"/>
    <n v="415"/>
    <n v="12242.5"/>
    <n v="436.57319999999999"/>
    <n v="1.0519836144578314"/>
    <n v="1139.394791081223"/>
    <n v="13381.894791081224"/>
    <n v="0"/>
    <n v="0"/>
    <n v="13381.894791081224"/>
    <n v="32.245529617063191"/>
  </r>
  <r>
    <s v="054288"/>
    <s v="St. Benedict the Moor Catholic School"/>
    <s v="Montgomery"/>
    <x v="0"/>
    <n v="1"/>
    <x v="0"/>
    <n v="142"/>
    <n v="4189"/>
    <n v="167.02359999999999"/>
    <n v="1.1762225352112676"/>
    <n v="1321.6286639951468"/>
    <n v="5510.6286639951468"/>
    <n v="0"/>
    <n v="0"/>
    <n v="5510.6286639951468"/>
    <n v="38.807244112641875"/>
  </r>
  <r>
    <s v="000297"/>
    <s v="Summit Academy Community School - Dayton"/>
    <s v="Montgomery"/>
    <x v="4"/>
    <n v="1"/>
    <x v="8"/>
    <n v="78.438565999999994"/>
    <n v="2313.9376969999998"/>
    <n v="298.15630129627198"/>
    <n v="3.8011442138841751"/>
    <n v="11604.455672071619"/>
    <n v="13918.393369071619"/>
    <n v="0"/>
    <n v="0"/>
    <n v="13918.393369071619"/>
    <n v="177.44324098265156"/>
  </r>
  <r>
    <s v="000621"/>
    <s v="Summit Academy Transition High School Dayton"/>
    <s v="Montgomery"/>
    <x v="4"/>
    <n v="1"/>
    <x v="8"/>
    <n v="171.06753800000001"/>
    <n v="5046.4923710000003"/>
    <n v="437.63175294589303"/>
    <n v="2.5582396173018696"/>
    <n v="14078.66602998193"/>
    <n v="19125.158400981931"/>
    <n v="0"/>
    <n v="0"/>
    <n v="19125.158400981931"/>
    <n v="111.79887560538768"/>
  </r>
  <r>
    <s v="017153"/>
    <s v="The Goddard School of Centerville"/>
    <s v="Montgomery"/>
    <x v="0"/>
    <n v="1"/>
    <x v="0"/>
    <n v="17"/>
    <n v="501.5"/>
    <n v="17"/>
    <n v="1"/>
    <n v="0"/>
    <n v="501.5"/>
    <n v="0"/>
    <n v="0"/>
    <n v="501.5"/>
    <n v="29.5"/>
  </r>
  <r>
    <s v="067637"/>
    <s v="The Miami Valley School"/>
    <s v="Montgomery"/>
    <x v="0"/>
    <n v="1"/>
    <x v="0"/>
    <n v="433"/>
    <n v="12773.5"/>
    <n v="433"/>
    <n v="1"/>
    <n v="0"/>
    <n v="12773.5"/>
    <n v="0"/>
    <n v="0"/>
    <n v="12773.5"/>
    <n v="29.5"/>
  </r>
  <r>
    <s v="143206"/>
    <s v="Trotwood Preparatory &amp; Fitness Academy"/>
    <s v="Montgomery"/>
    <x v="4"/>
    <n v="1"/>
    <x v="8"/>
    <n v="317.34766200000001"/>
    <n v="9361.7560290000001"/>
    <n v="450.42768040429701"/>
    <n v="1.4193508707944948"/>
    <n v="7028.6596224412415"/>
    <n v="16390.415651441243"/>
    <n v="0"/>
    <n v="0"/>
    <n v="16390.415651441243"/>
    <n v="51.648137402824922"/>
  </r>
  <r>
    <s v="048694"/>
    <s v="Trotwood-Madison City"/>
    <s v="Montgomery"/>
    <x v="1"/>
    <n v="1"/>
    <x v="9"/>
    <n v="2570.8832539999999"/>
    <n v="75841.055993000002"/>
    <n v="3624.5064577039702"/>
    <n v="1.4098292686237903"/>
    <n v="55647.41392387847"/>
    <n v="131488.46991687847"/>
    <n v="1807752.1815008174"/>
    <n v="36235.130092104169"/>
    <n v="167723.60000898264"/>
    <n v="65.239679689081143"/>
  </r>
  <r>
    <s v="015714"/>
    <s v="Urban Early College Network"/>
    <s v="Montgomery"/>
    <x v="4"/>
    <n v="1"/>
    <x v="8"/>
    <n v="81.045203999999998"/>
    <n v="2390.8335179999999"/>
    <n v="109.13313660745"/>
    <n v="1.3465711876973003"/>
    <n v="1483.4722760262264"/>
    <n v="3874.3057940262261"/>
    <n v="0"/>
    <n v="0"/>
    <n v="3874.3057940262261"/>
    <n v="47.804257412026828"/>
  </r>
  <r>
    <s v="048744"/>
    <s v="Valley View Local"/>
    <s v="Montgomery"/>
    <x v="1"/>
    <n v="1"/>
    <x v="7"/>
    <n v="1781.401912"/>
    <n v="52551.356403999998"/>
    <n v="2100.2688246231301"/>
    <n v="1.1789977379473757"/>
    <n v="16841.048119469808"/>
    <n v="69392.404523469799"/>
    <n v="1308911.5503776297"/>
    <n v="26236.217990684658"/>
    <n v="95628.622514154456"/>
    <n v="53.681666035033679"/>
  </r>
  <r>
    <s v="044958"/>
    <s v="Vandalia-Butler City"/>
    <s v="Montgomery"/>
    <x v="1"/>
    <n v="1"/>
    <x v="10"/>
    <n v="2819.0349860000001"/>
    <n v="83161.532087"/>
    <n v="3392.59919337264"/>
    <n v="1.2034611880381394"/>
    <n v="30292.959330605416"/>
    <n v="113454.49141760542"/>
    <n v="1267111.1832041834"/>
    <n v="25398.358820646161"/>
    <n v="138852.85023825159"/>
    <n v="49.255454766552369"/>
  </r>
  <r>
    <s v="045054"/>
    <s v="West Carrollton City"/>
    <s v="Montgomery"/>
    <x v="1"/>
    <n v="1"/>
    <x v="9"/>
    <n v="3500.8573940000001"/>
    <n v="103275.29312300001"/>
    <n v="4547.5130487958204"/>
    <n v="1.2989712339010573"/>
    <n v="55279.420815181111"/>
    <n v="158554.71393818111"/>
    <n v="2079159.0794946507"/>
    <n v="41675.29183403957"/>
    <n v="200230.00577222067"/>
    <n v="57.194562142230652"/>
  </r>
  <r>
    <s v="048777"/>
    <s v="Morgan Local"/>
    <s v="Morgan"/>
    <x v="1"/>
    <n v="1"/>
    <x v="1"/>
    <n v="1762.3368479999999"/>
    <n v="51988.937015999996"/>
    <n v="2493.9473818207598"/>
    <n v="1.4151366037945772"/>
    <n v="38640.221725823118"/>
    <n v="90629.158741823107"/>
    <n v="3733380.5654517505"/>
    <n v="74833.006347234463"/>
    <n v="165462.16508905758"/>
    <n v="93.887933669907355"/>
  </r>
  <r>
    <s v="048793"/>
    <s v="Cardington-Lincoln Local"/>
    <s v="Morrow"/>
    <x v="1"/>
    <n v="1"/>
    <x v="1"/>
    <n v="1051.502238"/>
    <n v="31019.316021000002"/>
    <n v="1320.9010868581699"/>
    <n v="1.2562037807647253"/>
    <n v="14228.378039061276"/>
    <n v="45247.69406006128"/>
    <n v="616516.99803860614"/>
    <n v="12357.652700701401"/>
    <n v="57605.346760762681"/>
    <n v="54.783855591530063"/>
  </r>
  <r>
    <s v="092247"/>
    <s v="Gilead Christian"/>
    <s v="Morrow"/>
    <x v="0"/>
    <n v="1"/>
    <x v="0"/>
    <n v="108"/>
    <n v="3186"/>
    <n v="116.1114"/>
    <n v="1.0751055555555555"/>
    <n v="428.40593460294451"/>
    <n v="3614.4059346029444"/>
    <n v="0"/>
    <n v="0"/>
    <n v="3614.4059346029444"/>
    <n v="33.466721616693931"/>
  </r>
  <r>
    <s v="048801"/>
    <s v="Highland Local"/>
    <s v="Morrow"/>
    <x v="1"/>
    <n v="1"/>
    <x v="3"/>
    <n v="1802.332097"/>
    <n v="53168.796861499999"/>
    <n v="2146.6112962367001"/>
    <n v="1.1910187361195843"/>
    <n v="18183.205379262745"/>
    <n v="71352.00224076274"/>
    <n v="2137574.7853937121"/>
    <n v="42846.193866041147"/>
    <n v="114198.19610680389"/>
    <n v="63.361350717155815"/>
  </r>
  <r>
    <s v="045534"/>
    <s v="Mount Gilead Exempted Village"/>
    <s v="Morrow"/>
    <x v="1"/>
    <n v="1"/>
    <x v="7"/>
    <n v="1136.944542"/>
    <n v="33539.863988999998"/>
    <n v="1443.55318561851"/>
    <n v="1.2696777479393626"/>
    <n v="16193.624100245197"/>
    <n v="49733.488089245191"/>
    <n v="665585.71454286308"/>
    <n v="13341.200857456055"/>
    <n v="63074.688946701244"/>
    <n v="55.477366412038457"/>
  </r>
  <r>
    <s v="048819"/>
    <s v="Northmor Local"/>
    <s v="Morrow"/>
    <x v="1"/>
    <n v="1"/>
    <x v="3"/>
    <n v="1045.98081"/>
    <n v="30856.433895000002"/>
    <n v="1267.94580943556"/>
    <n v="1.2122075255238765"/>
    <n v="11723.145576883533"/>
    <n v="42579.579471883539"/>
    <n v="1245757.0597169306"/>
    <n v="24970.330327315256"/>
    <n v="67549.909799198795"/>
    <n v="64.580448468455927"/>
  </r>
  <r>
    <s v="148981"/>
    <s v="Tomorrow Center"/>
    <s v="Morrow"/>
    <x v="4"/>
    <n v="1"/>
    <x v="8"/>
    <n v="116.69521899999999"/>
    <n v="3442.5089604999998"/>
    <n v="214.10367563718501"/>
    <n v="1.8347253424082868"/>
    <n v="5144.6557812317997"/>
    <n v="8587.1647417317999"/>
    <n v="0"/>
    <n v="0"/>
    <n v="8587.1647417317999"/>
    <n v="73.586260134031718"/>
  </r>
  <r>
    <s v="058099"/>
    <s v="Bishop Fenwick School"/>
    <s v="Muskingum"/>
    <x v="0"/>
    <n v="1"/>
    <x v="0"/>
    <n v="258"/>
    <n v="7611"/>
    <n v="300.18299999999999"/>
    <n v="1.1635"/>
    <n v="2227.907332810119"/>
    <n v="9838.9073328101185"/>
    <n v="0"/>
    <n v="0"/>
    <n v="9838.9073328101185"/>
    <n v="38.135299739574101"/>
  </r>
  <r>
    <s v="052712"/>
    <s v="Bishop Rosecrans"/>
    <s v="Muskingum"/>
    <x v="0"/>
    <n v="1"/>
    <x v="0"/>
    <n v="98"/>
    <n v="2891"/>
    <n v="104.79920000000001"/>
    <n v="1.0693795918367348"/>
    <n v="359.10171247285854"/>
    <n v="3250.1017124728587"/>
    <n v="0"/>
    <n v="0"/>
    <n v="3250.1017124728587"/>
    <n v="33.164303188498558"/>
  </r>
  <r>
    <s v="048835"/>
    <s v="East Muskingum Local"/>
    <s v="Muskingum"/>
    <x v="1"/>
    <n v="1"/>
    <x v="7"/>
    <n v="2115.8765229999999"/>
    <n v="62418.3574285"/>
    <n v="2532.8269448098899"/>
    <n v="1.1970580122599574"/>
    <n v="22021.356996148359"/>
    <n v="84439.714424648351"/>
    <n v="2623565.2934144326"/>
    <n v="52587.534223345334"/>
    <n v="137027.24864799369"/>
    <n v="64.76145803333992"/>
  </r>
  <r>
    <s v="149328"/>
    <s v="Foxfire High School"/>
    <s v="Muskingum"/>
    <x v="4"/>
    <n v="1"/>
    <x v="8"/>
    <n v="359"/>
    <n v="10590.5"/>
    <n v="666.80063936194904"/>
    <n v="1.8573833965513902"/>
    <n v="16256.579699834752"/>
    <n v="26847.07969983475"/>
    <n v="0"/>
    <n v="0"/>
    <n v="26847.07969983475"/>
    <n v="74.782951810124658"/>
  </r>
  <r>
    <s v="012033"/>
    <s v="Foxfire Intermediate School"/>
    <s v="Muskingum"/>
    <x v="4"/>
    <n v="1"/>
    <x v="8"/>
    <n v="40"/>
    <n v="1180"/>
    <n v="69.998502789489706"/>
    <n v="1.7499625697372427"/>
    <n v="1584.3795922060767"/>
    <n v="2764.3795922060767"/>
    <n v="0"/>
    <n v="0"/>
    <n v="2764.3795922060767"/>
    <n v="69.109489805151924"/>
  </r>
  <r>
    <s v="048843"/>
    <s v="Franklin Local "/>
    <s v="Muskingum"/>
    <x v="1"/>
    <n v="1"/>
    <x v="1"/>
    <n v="1873.862697"/>
    <n v="55278.949561499998"/>
    <n v="2293.60280137667"/>
    <n v="1.2239972571355744"/>
    <n v="22168.69488692762"/>
    <n v="77447.644448427614"/>
    <n v="2573274.2562404592"/>
    <n v="51579.485502334872"/>
    <n v="129027.12995076249"/>
    <n v="68.856234855056982"/>
  </r>
  <r>
    <s v="048850"/>
    <s v="Maysville Local"/>
    <s v="Muskingum"/>
    <x v="1"/>
    <n v="1"/>
    <x v="6"/>
    <n v="2447.248251"/>
    <n v="72193.823404499999"/>
    <n v="2754.0007090855001"/>
    <n v="1.1253458687569413"/>
    <n v="16201.219702871169"/>
    <n v="88395.043107371166"/>
    <n v="1815645.5555213131"/>
    <n v="36393.347262259012"/>
    <n v="124788.39036963019"/>
    <n v="50.99130842922817"/>
  </r>
  <r>
    <s v="051300"/>
    <s v="Mid-East Career and Technology Centers"/>
    <s v="Muskingum"/>
    <x v="3"/>
    <n v="1"/>
    <x v="4"/>
    <n v="1149.648645"/>
    <n v="33914.6350275"/>
    <n v="1474.1969219274399"/>
    <n v="1.2823021436496713"/>
    <n v="17141.111016701816"/>
    <n v="51055.74604420182"/>
    <n v="0"/>
    <n v="0"/>
    <n v="51055.74604420182"/>
    <n v="44.409869281585436"/>
  </r>
  <r>
    <n v="66357"/>
    <s v="Muskingum County Bd of DD"/>
    <s v="Muskingum"/>
    <x v="2"/>
    <n v="1"/>
    <x v="2"/>
    <n v="44.21"/>
    <n v="1304.1949999999999"/>
    <n v="196.40736200000001"/>
    <n v="4.4426003619090704"/>
    <n v="8038.3476479661522"/>
    <n v="9342.5426479661528"/>
    <n v="0"/>
    <n v="0"/>
    <n v="9342.5426479661528"/>
    <n v="211.32193277462457"/>
  </r>
  <r>
    <s v="048876"/>
    <s v="Tri-Valley Local "/>
    <s v="Muskingum"/>
    <x v="1"/>
    <n v="1"/>
    <x v="1"/>
    <n v="2965.5620389999999"/>
    <n v="87484.080150499998"/>
    <n v="3557.4266349891"/>
    <n v="1.1995792326059984"/>
    <n v="31259.499642861214"/>
    <n v="118743.57979336122"/>
    <n v="3345210.8674213495"/>
    <n v="67052.415816143461"/>
    <n v="185795.99560950469"/>
    <n v="62.651191634539501"/>
  </r>
  <r>
    <s v="048884"/>
    <s v="West Muskingum Local"/>
    <s v="Muskingum"/>
    <x v="1"/>
    <n v="1"/>
    <x v="7"/>
    <n v="1379.8585869999999"/>
    <n v="40705.828316499996"/>
    <n v="1656.0066278974"/>
    <n v="1.2001277837446978"/>
    <n v="14584.83856663742"/>
    <n v="55290.666883137412"/>
    <n v="1346267.8466215599"/>
    <n v="26984.998862316195"/>
    <n v="82275.665745453603"/>
    <n v="59.626157724127424"/>
  </r>
  <r>
    <s v="045179"/>
    <s v="Zanesville City"/>
    <s v="Muskingum"/>
    <x v="1"/>
    <n v="1"/>
    <x v="9"/>
    <n v="3176.0282099999999"/>
    <n v="93692.832194999995"/>
    <n v="4731.3323051716998"/>
    <n v="1.4897009699960126"/>
    <n v="82143.83515593101"/>
    <n v="175836.66735093101"/>
    <n v="1964999.3920775934"/>
    <n v="39387.040619541367"/>
    <n v="215223.70797047237"/>
    <n v="67.765049218650475"/>
  </r>
  <r>
    <s v="009148"/>
    <s v="Zanesville Community School"/>
    <s v="Muskingum"/>
    <x v="4"/>
    <n v="1"/>
    <x v="8"/>
    <n v="93.154321999999993"/>
    <n v="2748.0524989999999"/>
    <n v="146.07249415619501"/>
    <n v="1.5680699619733696"/>
    <n v="2794.8885519212749"/>
    <n v="5542.9410509212748"/>
    <n v="0"/>
    <n v="0"/>
    <n v="5542.9410509212748"/>
    <n v="59.502779172406782"/>
  </r>
  <r>
    <s v="070243"/>
    <s v="Zanesville Seventh-Day Advent"/>
    <s v="Muskingum"/>
    <x v="0"/>
    <n v="1"/>
    <x v="0"/>
    <n v="14"/>
    <n v="413"/>
    <n v="14"/>
    <n v="1"/>
    <n v="0"/>
    <n v="413"/>
    <n v="0"/>
    <n v="0"/>
    <n v="413"/>
    <n v="29.5"/>
  </r>
  <r>
    <s v="045252"/>
    <s v="Caldwell Exempted Village"/>
    <s v="Noble"/>
    <x v="1"/>
    <n v="1"/>
    <x v="1"/>
    <n v="802.92055900000003"/>
    <n v="23686.156490500001"/>
    <n v="970.49659940243203"/>
    <n v="1.2087081200301311"/>
    <n v="8850.5769911069165"/>
    <n v="32536.73348160692"/>
    <n v="1047480.8579003329"/>
    <n v="20996.022321763292"/>
    <n v="53532.755803370208"/>
    <n v="66.672543383423573"/>
  </r>
  <r>
    <s v="048900"/>
    <s v="Noble Local"/>
    <s v="Noble"/>
    <x v="1"/>
    <n v="1"/>
    <x v="3"/>
    <n v="843.78037800000004"/>
    <n v="24891.521151000001"/>
    <n v="968.18352434398696"/>
    <n v="1.1474354578366208"/>
    <n v="6570.3881175928418"/>
    <n v="31461.909268592841"/>
    <n v="1433695.6240772472"/>
    <n v="28737.427609015471"/>
    <n v="60199.336877608308"/>
    <n v="71.344793559075043"/>
  </r>
  <r>
    <s v="048926"/>
    <s v="Benton Carroll Salem Local"/>
    <s v="Ottawa"/>
    <x v="1"/>
    <n v="1"/>
    <x v="7"/>
    <n v="1433.1243999999999"/>
    <n v="42277.169799999996"/>
    <n v="1656.1461025171"/>
    <n v="1.1556192208555658"/>
    <n v="11778.955655445185"/>
    <n v="54056.125455445181"/>
    <n v="1250105.2990783679"/>
    <n v="25057.487748860985"/>
    <n v="79113.613204306166"/>
    <n v="55.203590982266554"/>
  </r>
  <r>
    <s v="048934"/>
    <s v="Danbury Local"/>
    <s v="Ottawa"/>
    <x v="1"/>
    <n v="1"/>
    <x v="7"/>
    <n v="535.08893899999998"/>
    <n v="15785.1237005"/>
    <n v="622.27131789100702"/>
    <n v="1.1629306317823307"/>
    <n v="4604.5625304768437"/>
    <n v="20389.686230976844"/>
    <n v="425251.61792717408"/>
    <n v="8523.8717204457516"/>
    <n v="28913.557951422597"/>
    <n v="54.035050706631402"/>
  </r>
  <r>
    <s v="048942"/>
    <s v="Genoa Area Local"/>
    <s v="Ottawa"/>
    <x v="1"/>
    <n v="1"/>
    <x v="7"/>
    <n v="1287.374376"/>
    <n v="37977.544091999996"/>
    <n v="1405.22202209183"/>
    <n v="1.0915410841545521"/>
    <n v="6224.1574777137685"/>
    <n v="44201.701569713769"/>
    <n v="1173936.7666805682"/>
    <n v="23530.742706812387"/>
    <n v="67732.444276526163"/>
    <n v="52.612857253674406"/>
  </r>
  <r>
    <s v="058560"/>
    <s v="Immaculate Conception"/>
    <s v="Ottawa"/>
    <x v="0"/>
    <n v="1"/>
    <x v="0"/>
    <n v="78"/>
    <n v="2301"/>
    <n v="83.624400000000009"/>
    <n v="1.0721076923076924"/>
    <n v="297.05431104134971"/>
    <n v="2598.0543110413496"/>
    <n v="0"/>
    <n v="0"/>
    <n v="2598.0543110413496"/>
    <n v="33.308388603094222"/>
  </r>
  <r>
    <s v="044651"/>
    <s v="Port Clinton City"/>
    <s v="Ottawa"/>
    <x v="1"/>
    <n v="1"/>
    <x v="6"/>
    <n v="1653.9669510000001"/>
    <n v="48792.025054500002"/>
    <n v="2107.07540254781"/>
    <n v="1.2739525425667406"/>
    <n v="23931.053783789779"/>
    <n v="72723.078838289774"/>
    <n v="954333.52238749445"/>
    <n v="19128.949027879371"/>
    <n v="91852.027866169141"/>
    <n v="55.534379215155873"/>
  </r>
  <r>
    <s v="048975"/>
    <s v="Put-In-Bay Local"/>
    <s v="Ottawa"/>
    <x v="1"/>
    <n v="1"/>
    <x v="14"/>
    <n v="70.984448999999998"/>
    <n v="2094.0412455000001"/>
    <n v="76.483341455000001"/>
    <n v="1.0774661567775219"/>
    <n v="290.42559378964859"/>
    <n v="2384.4668392896488"/>
    <n v="0"/>
    <n v="0"/>
    <n v="2384.4668392896488"/>
    <n v="33.591397452273647"/>
  </r>
  <r>
    <s v="058859"/>
    <s v="St Boniface"/>
    <s v="Ottawa"/>
    <x v="0"/>
    <n v="1"/>
    <x v="0"/>
    <n v="46"/>
    <n v="1357"/>
    <n v="52.699199999999998"/>
    <n v="1.1456347826086957"/>
    <n v="353.82018358015182"/>
    <n v="1710.8201835801519"/>
    <n v="0"/>
    <n v="0"/>
    <n v="1710.8201835801519"/>
    <n v="37.191743121307653"/>
  </r>
  <r>
    <s v="048991"/>
    <s v="Antwerp Local"/>
    <s v="Paulding"/>
    <x v="1"/>
    <n v="1"/>
    <x v="1"/>
    <n v="715.77025900000001"/>
    <n v="21115.2226405"/>
    <n v="836.99021946931998"/>
    <n v="1.1693559615604536"/>
    <n v="6402.2672359137741"/>
    <n v="27517.489876413776"/>
    <n v="486750.12226757727"/>
    <n v="9756.5662944300529"/>
    <n v="37274.056170843833"/>
    <n v="52.075446977804411"/>
  </r>
  <r>
    <s v="059014"/>
    <s v="Divine Mercy School"/>
    <s v="Paulding"/>
    <x v="0"/>
    <n v="1"/>
    <x v="0"/>
    <n v="73"/>
    <n v="2153.5"/>
    <n v="86.223600000000005"/>
    <n v="1.181145205479452"/>
    <n v="698.40825465585431"/>
    <n v="2851.9082546558543"/>
    <n v="0"/>
    <n v="0"/>
    <n v="2851.9082546558543"/>
    <n v="39.067236365148688"/>
  </r>
  <r>
    <s v="045575"/>
    <s v="Paulding Exempted Village"/>
    <s v="Paulding"/>
    <x v="1"/>
    <n v="1"/>
    <x v="1"/>
    <n v="1413.2979089999999"/>
    <n v="41692.288315499994"/>
    <n v="1742.8320678235"/>
    <n v="1.2331668056147249"/>
    <n v="17404.441809598422"/>
    <n v="59096.730125098416"/>
    <n v="1398263.9759199575"/>
    <n v="28027.224964264034"/>
    <n v="87123.955089362455"/>
    <n v="61.64585296174981"/>
  </r>
  <r>
    <s v="049031"/>
    <s v="Wayne Trace Local"/>
    <s v="Paulding"/>
    <x v="1"/>
    <n v="1"/>
    <x v="1"/>
    <n v="894.451009"/>
    <n v="26386.304765500001"/>
    <n v="1090.8962369758001"/>
    <n v="1.2196265932948376"/>
    <n v="10375.311473883807"/>
    <n v="36761.616239383809"/>
    <n v="1118574.3045298925"/>
    <n v="22421.040813611806"/>
    <n v="59182.657052995615"/>
    <n v="66.166460161034507"/>
  </r>
  <r>
    <s v="045351"/>
    <s v="Crooksville Exempted Village"/>
    <s v="Perry"/>
    <x v="1"/>
    <n v="1"/>
    <x v="1"/>
    <n v="1084.458603"/>
    <n v="31991.5287885"/>
    <n v="1534.08028546899"/>
    <n v="1.4146047449161967"/>
    <n v="23746.899067469971"/>
    <n v="55738.427855969974"/>
    <n v="787877.89249390783"/>
    <n v="15792.462165642646"/>
    <n v="71530.89002161262"/>
    <n v="65.960000523517095"/>
  </r>
  <r>
    <s v="057653"/>
    <s v="Holy Trinity"/>
    <s v="Perry"/>
    <x v="0"/>
    <n v="1"/>
    <x v="0"/>
    <n v="125"/>
    <n v="3687.5"/>
    <n v="131.46180000000001"/>
    <n v="1.0516944000000001"/>
    <n v="341.28183398886881"/>
    <n v="4028.781833988869"/>
    <n v="0"/>
    <n v="0"/>
    <n v="4028.781833988869"/>
    <n v="32.230254671910956"/>
  </r>
  <r>
    <s v="044479"/>
    <s v="New Lexington School District"/>
    <s v="Perry"/>
    <x v="1"/>
    <n v="1"/>
    <x v="1"/>
    <n v="1677.8913050000001"/>
    <n v="49497.793497500003"/>
    <n v="2331.8440803714998"/>
    <n v="1.3897468050658381"/>
    <n v="34538.704775897706"/>
    <n v="84036.498273397709"/>
    <n v="1762335.7378063519"/>
    <n v="35324.789193373559"/>
    <n v="119361.28746677126"/>
    <n v="71.137675671292214"/>
  </r>
  <r>
    <s v="049056"/>
    <s v="Northern Local"/>
    <s v="Perry"/>
    <x v="1"/>
    <n v="1"/>
    <x v="3"/>
    <n v="2193.22957"/>
    <n v="64700.272315000002"/>
    <n v="2589.6568379780201"/>
    <n v="1.1807504665268671"/>
    <n v="20937.420696823679"/>
    <n v="85637.693011823678"/>
    <n v="2683438.2562073418"/>
    <n v="53787.645952155217"/>
    <n v="139425.33896397889"/>
    <n v="63.570791161628783"/>
  </r>
  <r>
    <s v="049064"/>
    <s v="Southern Local"/>
    <s v="Perry"/>
    <x v="1"/>
    <n v="1"/>
    <x v="1"/>
    <n v="660.97308199999998"/>
    <n v="19498.705919"/>
    <n v="932.56948663950095"/>
    <n v="1.410903881013873"/>
    <n v="14344.442582585603"/>
    <n v="33843.148501585601"/>
    <n v="1000770.0876196322"/>
    <n v="20059.737550463287"/>
    <n v="53902.886052048889"/>
    <n v="81.550803686206535"/>
  </r>
  <r>
    <s v="058164"/>
    <s v="St Rose"/>
    <s v="Perry"/>
    <x v="0"/>
    <n v="1"/>
    <x v="0"/>
    <n v="75"/>
    <n v="2212.5"/>
    <n v="83.099199999999996"/>
    <n v="1.1079893333333333"/>
    <n v="427.76158807803404"/>
    <n v="2640.261588078034"/>
    <n v="0"/>
    <n v="0"/>
    <n v="2640.261588078034"/>
    <n v="35.203487841040456"/>
  </r>
  <r>
    <s v="043760"/>
    <s v="Circleville City"/>
    <s v="Pickaway"/>
    <x v="1"/>
    <n v="1"/>
    <x v="6"/>
    <n v="2102.7318730000002"/>
    <n v="62030.590253500006"/>
    <n v="2554.97795776564"/>
    <n v="1.2150754884979289"/>
    <n v="23885.507633028366"/>
    <n v="85916.097886528369"/>
    <n v="1432418.5445773776"/>
    <n v="28711.829442248323"/>
    <n v="114627.92732877668"/>
    <n v="54.513810724348438"/>
  </r>
  <r>
    <s v="012900"/>
    <s v="Crossroads Christian Academy"/>
    <s v="Pickaway"/>
    <x v="0"/>
    <n v="1"/>
    <x v="0"/>
    <n v="44"/>
    <n v="1298"/>
    <n v="44"/>
    <n v="1"/>
    <n v="0"/>
    <n v="1298"/>
    <n v="0"/>
    <n v="0"/>
    <n v="1298"/>
    <n v="29.5"/>
  </r>
  <r>
    <s v="049080"/>
    <s v="Logan Elm Local"/>
    <s v="Pickaway"/>
    <x v="1"/>
    <n v="1"/>
    <x v="7"/>
    <n v="1710.979327"/>
    <n v="50473.890146500002"/>
    <n v="2095.1990385238901"/>
    <n v="1.2245612822205012"/>
    <n v="20292.675075605417"/>
    <n v="70766.565222105419"/>
    <n v="2854252.264182989"/>
    <n v="57211.493459512516"/>
    <n v="127978.05868161793"/>
    <n v="74.79813266125916"/>
  </r>
  <r>
    <s v="134528"/>
    <s v="New Hope Christian Academy"/>
    <s v="Pickaway"/>
    <x v="0"/>
    <n v="1"/>
    <x v="0"/>
    <n v="187"/>
    <n v="5516.5"/>
    <n v="187"/>
    <n v="1"/>
    <n v="0"/>
    <n v="5516.5"/>
    <n v="0"/>
    <n v="0"/>
    <n v="5516.5"/>
    <n v="29.5"/>
  </r>
  <r>
    <s v="049098"/>
    <s v="Teays Valley Local"/>
    <s v="Pickaway"/>
    <x v="1"/>
    <n v="1"/>
    <x v="7"/>
    <n v="4068.7237749999999"/>
    <n v="120027.35136250001"/>
    <n v="4767.8071912218302"/>
    <n v="1.1718188441587756"/>
    <n v="36922.292611871235"/>
    <n v="156949.64397437125"/>
    <n v="3292760.9329466326"/>
    <n v="66001.093506336663"/>
    <n v="222950.73748070793"/>
    <n v="54.796233366986911"/>
  </r>
  <r>
    <s v="049106"/>
    <s v="Westfall Local"/>
    <s v="Pickaway"/>
    <x v="1"/>
    <n v="1"/>
    <x v="3"/>
    <n v="1361.1749339999999"/>
    <n v="40154.660552999994"/>
    <n v="1668.2669936708201"/>
    <n v="1.2256080772574822"/>
    <n v="16219.155858719932"/>
    <n v="56373.816411719927"/>
    <n v="2272431.7453246191"/>
    <n v="45549.307454799324"/>
    <n v="101923.12386651925"/>
    <n v="74.878783998030386"/>
  </r>
  <r>
    <s v="049122"/>
    <s v="Eastern Local School District"/>
    <s v="Pike"/>
    <x v="1"/>
    <n v="1"/>
    <x v="3"/>
    <n v="821.67436699999996"/>
    <n v="24239.3938265"/>
    <n v="1121.2567865860101"/>
    <n v="1.3645999335233128"/>
    <n v="15822.532047902469"/>
    <n v="40061.92587440247"/>
    <n v="887120.85913395253"/>
    <n v="17781.718128781831"/>
    <n v="57843.644003184301"/>
    <n v="70.397284284741843"/>
  </r>
  <r>
    <s v="122879"/>
    <s v="Miracle City Academy"/>
    <s v="Pike"/>
    <x v="0"/>
    <n v="1"/>
    <x v="0"/>
    <n v="22"/>
    <n v="649"/>
    <n v="22"/>
    <n v="1"/>
    <n v="0"/>
    <n v="649"/>
    <n v="0"/>
    <n v="0"/>
    <n v="649"/>
    <n v="29.5"/>
  </r>
  <r>
    <s v="123356"/>
    <s v="Pike Christian Academy"/>
    <s v="Pike"/>
    <x v="0"/>
    <n v="1"/>
    <x v="0"/>
    <n v="104"/>
    <n v="3068"/>
    <n v="104"/>
    <n v="1"/>
    <n v="0"/>
    <n v="3068"/>
    <n v="0"/>
    <n v="0"/>
    <n v="3068"/>
    <n v="29.5"/>
  </r>
  <r>
    <s v="051375"/>
    <s v="Pike County Area"/>
    <s v="Pike"/>
    <x v="3"/>
    <n v="1"/>
    <x v="4"/>
    <n v="437.32900100000001"/>
    <n v="12901.205529500001"/>
    <n v="624.00948971911305"/>
    <n v="1.4268651022279517"/>
    <n v="9859.5839487444864"/>
    <n v="22760.789478244486"/>
    <n v="0"/>
    <n v="0"/>
    <n v="22760.789478244486"/>
    <n v="52.045003707047741"/>
  </r>
  <r>
    <n v="78048"/>
    <s v="Pike County Board of DD"/>
    <s v="Pike"/>
    <x v="2"/>
    <n v="1"/>
    <x v="2"/>
    <n v="26.14"/>
    <n v="771.13"/>
    <n v="121.30585900000001"/>
    <n v="4.640621996939557"/>
    <n v="5026.2123390767347"/>
    <n v="5797.3423390767348"/>
    <n v="0"/>
    <n v="0"/>
    <n v="5797.3423390767348"/>
    <n v="221.78050264256828"/>
  </r>
  <r>
    <s v="049130"/>
    <s v="Scioto Valley Local"/>
    <s v="Pike"/>
    <x v="1"/>
    <n v="1"/>
    <x v="1"/>
    <n v="1192.3970099999999"/>
    <n v="35175.711794999996"/>
    <n v="1663.7387794608001"/>
    <n v="1.3952892916603339"/>
    <n v="24894.051737463276"/>
    <n v="60069.763532463272"/>
    <n v="1525575.859041898"/>
    <n v="30579.102757250228"/>
    <n v="90648.866289713507"/>
    <n v="76.022386444690525"/>
  </r>
  <r>
    <s v="049148"/>
    <s v="Waverly City"/>
    <s v="Pike"/>
    <x v="1"/>
    <n v="1"/>
    <x v="7"/>
    <n v="1816.815249"/>
    <n v="53596.049845499998"/>
    <n v="2474.02981042384"/>
    <n v="1.3617398972105612"/>
    <n v="34710.976948670308"/>
    <n v="88307.026794170306"/>
    <n v="1377762.1410870766"/>
    <n v="27616.280001841413"/>
    <n v="115923.30679601172"/>
    <n v="63.805775991707186"/>
  </r>
  <r>
    <s v="049155"/>
    <s v="Western Local"/>
    <s v="Pike"/>
    <x v="1"/>
    <n v="1"/>
    <x v="3"/>
    <n v="741.77538900000002"/>
    <n v="21882.373975499999"/>
    <n v="1016.99378288437"/>
    <n v="1.3710265910215713"/>
    <n v="14535.738991044062"/>
    <n v="36418.11296654406"/>
    <n v="850484.96443869197"/>
    <n v="17047.377203123935"/>
    <n v="53465.490169667995"/>
    <n v="72.077735339461356"/>
  </r>
  <r>
    <s v="049171"/>
    <s v="Aurora City"/>
    <s v="Portage"/>
    <x v="1"/>
    <n v="1"/>
    <x v="11"/>
    <n v="2947.7965359999998"/>
    <n v="86959.997812000001"/>
    <n v="3379.2391347928301"/>
    <n v="1.1463610508811692"/>
    <n v="22786.765510684421"/>
    <n v="109746.76332268442"/>
    <n v="1725983.227091796"/>
    <n v="34596.128501716725"/>
    <n v="144342.89182440116"/>
    <n v="48.96636862877471"/>
  </r>
  <r>
    <s v="014231"/>
    <s v="Bio-Med Science Academy STEM School"/>
    <s v="Portage"/>
    <x v="5"/>
    <n v="1"/>
    <x v="12"/>
    <n v="606.74444800000003"/>
    <n v="17898.961216"/>
    <n v="657.61042048664206"/>
    <n v="1.0838342611198348"/>
    <n v="2686.5010334378194"/>
    <n v="20585.46224943782"/>
    <n v="0"/>
    <n v="0"/>
    <n v="20585.46224943782"/>
    <n v="33.927730723030564"/>
  </r>
  <r>
    <s v="049189"/>
    <s v="Crestwood Local"/>
    <s v="Portage"/>
    <x v="1"/>
    <n v="1"/>
    <x v="7"/>
    <n v="1645.9279779999999"/>
    <n v="48554.875350999995"/>
    <n v="1916.66716615364"/>
    <n v="1.1644903007740477"/>
    <n v="14299.168446211821"/>
    <n v="62854.043797211816"/>
    <n v="1533283.5780287364"/>
    <n v="30733.598601901678"/>
    <n v="93587.642399113494"/>
    <n v="56.860107884449299"/>
  </r>
  <r>
    <s v="049197"/>
    <s v="Field Local"/>
    <s v="Portage"/>
    <x v="1"/>
    <n v="1"/>
    <x v="7"/>
    <n v="1901.379015"/>
    <n v="56090.680942500003"/>
    <n v="2277.30583467212"/>
    <n v="1.19771272150709"/>
    <n v="19854.683596413332"/>
    <n v="75945.364538913331"/>
    <n v="1037252.3869126036"/>
    <n v="20790.999763540745"/>
    <n v="96736.36430245408"/>
    <n v="50.87694959253249"/>
  </r>
  <r>
    <s v="049205"/>
    <s v="James A Garfield Local"/>
    <s v="Portage"/>
    <x v="1"/>
    <n v="1"/>
    <x v="1"/>
    <n v="1369.0836420000001"/>
    <n v="40387.967439"/>
    <n v="1602.5123581395901"/>
    <n v="1.1704999672617447"/>
    <n v="12328.60508678483"/>
    <n v="52716.572525784832"/>
    <n v="798550.2296725905"/>
    <n v="16006.381711703056"/>
    <n v="68722.954237487895"/>
    <n v="50.196315352285751"/>
  </r>
  <r>
    <s v="044164"/>
    <s v="Kent City"/>
    <s v="Portage"/>
    <x v="1"/>
    <n v="1"/>
    <x v="10"/>
    <n v="3253.2626150000001"/>
    <n v="95971.247142499997"/>
    <n v="4174.6237663899001"/>
    <n v="1.2832114281649838"/>
    <n v="48661.955416825091"/>
    <n v="144633.20255932509"/>
    <n v="1471458.8777844659"/>
    <n v="29494.365658812862"/>
    <n v="174127.56821813795"/>
    <n v="53.523981560934622"/>
  </r>
  <r>
    <s v="051391"/>
    <s v="Maplewood Career Center"/>
    <s v="Portage"/>
    <x v="3"/>
    <n v="1"/>
    <x v="4"/>
    <n v="662.64862400000004"/>
    <n v="19548.134408000002"/>
    <n v="886.74816356089696"/>
    <n v="1.3381875875756695"/>
    <n v="11835.881930329604"/>
    <n v="31384.016338329606"/>
    <n v="0"/>
    <n v="0"/>
    <n v="31384.016338329606"/>
    <n v="47.361475149353971"/>
  </r>
  <r>
    <n v="69773"/>
    <s v="Portage County Board of DD"/>
    <s v="Portage"/>
    <x v="2"/>
    <n v="1"/>
    <x v="2"/>
    <n v="12.27"/>
    <n v="361.96499999999997"/>
    <n v="51.560993999999994"/>
    <n v="4.2021999999999995"/>
    <n v="2075.1652003413315"/>
    <n v="2437.1302003413316"/>
    <n v="0"/>
    <n v="0"/>
    <n v="2437.1302003413316"/>
    <n v="198.62511820222753"/>
  </r>
  <r>
    <s v="044685"/>
    <s v="Ravenna City"/>
    <s v="Portage"/>
    <x v="1"/>
    <n v="1"/>
    <x v="6"/>
    <n v="2268.1679600000002"/>
    <n v="66910.954820000014"/>
    <n v="3339.9749058669599"/>
    <n v="1.4725430236070169"/>
    <n v="56607.793519991901"/>
    <n v="123518.74833999191"/>
    <n v="1116701.9970310251"/>
    <n v="22383.511717263238"/>
    <n v="145902.26005725516"/>
    <n v="64.326038737120314"/>
  </r>
  <r>
    <s v="049213"/>
    <s v="Rootstown Local"/>
    <s v="Portage"/>
    <x v="1"/>
    <n v="1"/>
    <x v="7"/>
    <n v="1134.5559350000001"/>
    <n v="33469.400082500004"/>
    <n v="1313.7905086594601"/>
    <n v="1.1579777321948079"/>
    <n v="9466.3257935425736"/>
    <n v="42935.725876042576"/>
    <n v="748673.02101303835"/>
    <n v="15006.62789428022"/>
    <n v="57942.353770322792"/>
    <n v="51.070513125756804"/>
  </r>
  <r>
    <s v="049221"/>
    <s v="Southeast Local"/>
    <s v="Portage"/>
    <x v="1"/>
    <n v="1"/>
    <x v="3"/>
    <n v="1489.223841"/>
    <n v="43932.103309500002"/>
    <n v="1798.2781062152301"/>
    <n v="1.2075270733026293"/>
    <n v="16322.79031148222"/>
    <n v="60254.89362098222"/>
    <n v="1666851.9559330812"/>
    <n v="33410.883463777573"/>
    <n v="93665.777084759786"/>
    <n v="62.895700771123892"/>
  </r>
  <r>
    <s v="060012"/>
    <s v="St Joseph"/>
    <s v="Portage"/>
    <x v="0"/>
    <n v="1"/>
    <x v="0"/>
    <n v="128"/>
    <n v="3776"/>
    <n v="132.9"/>
    <n v="1.03828125"/>
    <n v="258.79491574258816"/>
    <n v="4034.7949157425883"/>
    <n v="0"/>
    <n v="0"/>
    <n v="4034.7949157425883"/>
    <n v="31.521835279238971"/>
  </r>
  <r>
    <s v="059816"/>
    <s v="St Patrick"/>
    <s v="Portage"/>
    <x v="0"/>
    <n v="1"/>
    <x v="0"/>
    <n v="232"/>
    <n v="6844"/>
    <n v="247.9984"/>
    <n v="1.0689586206896551"/>
    <n v="844.9601183706568"/>
    <n v="7688.9601183706563"/>
    <n v="0"/>
    <n v="0"/>
    <n v="7688.9601183706563"/>
    <n v="33.142069475735589"/>
  </r>
  <r>
    <s v="049239"/>
    <s v="Streetsboro City"/>
    <s v="Portage"/>
    <x v="1"/>
    <n v="1"/>
    <x v="10"/>
    <n v="2149.4809169999999"/>
    <n v="63409.687051499997"/>
    <n v="2586.99959904558"/>
    <n v="1.2035462043813903"/>
    <n v="23107.675603223266"/>
    <n v="86517.362654723256"/>
    <n v="1608127.3217846218"/>
    <n v="32233.789180747004"/>
    <n v="118751.15183547026"/>
    <n v="55.246432241515109"/>
  </r>
  <r>
    <s v="083295"/>
    <s v="Valley Christian Academy"/>
    <s v="Portage"/>
    <x v="0"/>
    <n v="1"/>
    <x v="0"/>
    <n v="143"/>
    <n v="4218.5"/>
    <n v="143"/>
    <n v="1"/>
    <n v="0"/>
    <n v="4218.5"/>
    <n v="0"/>
    <n v="0"/>
    <n v="4218.5"/>
    <n v="29.5"/>
  </r>
  <r>
    <s v="049247"/>
    <s v="Waterloo Local"/>
    <s v="Portage"/>
    <x v="1"/>
    <n v="1"/>
    <x v="3"/>
    <n v="1028.1649379999999"/>
    <n v="30330.865670999996"/>
    <n v="1224.5439956667201"/>
    <n v="1.1909995667122431"/>
    <n v="10371.816669891359"/>
    <n v="40702.682340891355"/>
    <n v="607972.00361039466"/>
    <n v="12186.374254512228"/>
    <n v="52889.056595403585"/>
    <n v="51.44024527648655"/>
  </r>
  <r>
    <s v="045666"/>
    <s v="Windham Exempted Village"/>
    <s v="Portage"/>
    <x v="1"/>
    <n v="1"/>
    <x v="1"/>
    <n v="484.52395200000001"/>
    <n v="14293.456584"/>
    <n v="697.76018307202298"/>
    <n v="1.4400943032678455"/>
    <n v="11262.133153785957"/>
    <n v="25555.589737785958"/>
    <n v="167790.86077113193"/>
    <n v="3363.2506327612227"/>
    <n v="28918.840370547179"/>
    <n v="59.68505839840747"/>
  </r>
  <r>
    <s v="064964"/>
    <s v="College Corner Local"/>
    <s v="Preble"/>
    <x v="1"/>
    <n v="1"/>
    <x v="14"/>
    <n v="106.02"/>
    <n v="3127.5899999999997"/>
    <n v="123.91"/>
    <n v="1.1687417468402188"/>
    <n v="944.86551890508099"/>
    <n v="4072.4555189050807"/>
    <n v="0"/>
    <n v="0"/>
    <n v="4072.4555189050807"/>
    <n v="38.412144113422755"/>
  </r>
  <r>
    <s v="043935"/>
    <s v="Eaton Community City"/>
    <s v="Preble"/>
    <x v="1"/>
    <n v="1"/>
    <x v="1"/>
    <n v="1910.6149150000001"/>
    <n v="56363.139992500001"/>
    <n v="2206.8145965580402"/>
    <n v="1.1550284566673343"/>
    <n v="15643.871761590681"/>
    <n v="72007.011754090679"/>
    <n v="1642910.356358561"/>
    <n v="32930.990819158789"/>
    <n v="104938.00257324947"/>
    <n v="54.923680198136346"/>
  </r>
  <r>
    <s v="049270"/>
    <s v="National Trail Local"/>
    <s v="Preble"/>
    <x v="1"/>
    <n v="1"/>
    <x v="1"/>
    <n v="964.39742699999999"/>
    <n v="28449.724096499998"/>
    <n v="1186.6805551752"/>
    <n v="1.2304891344086923"/>
    <n v="11739.947638183619"/>
    <n v="40189.671734683616"/>
    <n v="1200968.7604174551"/>
    <n v="24072.580144337611"/>
    <n v="64262.251879021227"/>
    <n v="66.634615646917553"/>
  </r>
  <r>
    <s v="049288"/>
    <s v="Preble Shawnee Local"/>
    <s v="Preble"/>
    <x v="1"/>
    <n v="1"/>
    <x v="3"/>
    <n v="1375.607894"/>
    <n v="40580.432872999998"/>
    <n v="1682.4912328942901"/>
    <n v="1.2230892540184057"/>
    <n v="16208.132210602416"/>
    <n v="56788.565083602414"/>
    <n v="1669221.4233915419"/>
    <n v="33458.377784340388"/>
    <n v="90246.942867942795"/>
    <n v="65.605135926868115"/>
  </r>
  <r>
    <s v="091397"/>
    <s v="Tri-County North Local"/>
    <s v="Preble"/>
    <x v="1"/>
    <n v="1"/>
    <x v="1"/>
    <n v="774.61295099999995"/>
    <n v="22851.082054499999"/>
    <n v="873.31506458889703"/>
    <n v="1.1274212023714243"/>
    <n v="5212.9806469089708"/>
    <n v="28064.06270140897"/>
    <n v="861750.11777280073"/>
    <n v="17273.179335045603"/>
    <n v="45337.242036454569"/>
    <n v="58.528897532536313"/>
  </r>
  <r>
    <s v="049296"/>
    <s v="Twin Valley Community Local"/>
    <s v="Preble"/>
    <x v="1"/>
    <n v="1"/>
    <x v="3"/>
    <n v="808.32668000000001"/>
    <n v="23845.637060000001"/>
    <n v="1002.3464724604401"/>
    <n v="1.2400264611585505"/>
    <n v="10247.211396366116"/>
    <n v="34092.848456366119"/>
    <n v="735487.64254734677"/>
    <n v="14742.336190523953"/>
    <n v="48835.184646890069"/>
    <n v="60.415158691644407"/>
  </r>
  <r>
    <s v="049312"/>
    <s v="Columbus Grove Local"/>
    <s v="Putnam"/>
    <x v="1"/>
    <n v="1"/>
    <x v="3"/>
    <n v="835.32959800000003"/>
    <n v="24642.223141000002"/>
    <n v="1014.93745155366"/>
    <n v="1.2150143535961"/>
    <n v="9486.0406790054076"/>
    <n v="34128.263820005406"/>
    <n v="585572.99079843285"/>
    <n v="11737.401684332661"/>
    <n v="45865.665504338067"/>
    <n v="54.907267280068368"/>
  </r>
  <r>
    <s v="049320"/>
    <s v="Continental Local"/>
    <s v="Putnam"/>
    <x v="1"/>
    <n v="1"/>
    <x v="3"/>
    <n v="466.66078499999998"/>
    <n v="13766.493157499999"/>
    <n v="609.77966533841902"/>
    <n v="1.306687180364682"/>
    <n v="7558.8650159907502"/>
    <n v="21325.358173490749"/>
    <n v="446581.68268918019"/>
    <n v="8951.4179734297359"/>
    <n v="30276.776146920485"/>
    <n v="64.879623744087439"/>
  </r>
  <r>
    <s v="049338"/>
    <s v="Jennings Local"/>
    <s v="Putnam"/>
    <x v="1"/>
    <n v="1"/>
    <x v="3"/>
    <n v="373.80719900000003"/>
    <n v="11027.312370500002"/>
    <n v="410.13450102095601"/>
    <n v="1.097181921905565"/>
    <n v="1918.6369521773154"/>
    <n v="12945.949322677317"/>
    <n v="304799.38547576172"/>
    <n v="6109.4908349320331"/>
    <n v="19055.440157609351"/>
    <n v="50.976653763185951"/>
  </r>
  <r>
    <s v="049346"/>
    <s v="Kalida Local"/>
    <s v="Putnam"/>
    <x v="1"/>
    <n v="1"/>
    <x v="7"/>
    <n v="588.45456100000001"/>
    <n v="17359.4095495"/>
    <n v="669.25437486105398"/>
    <n v="1.1373085013118862"/>
    <n v="4267.4655143241316"/>
    <n v="21626.875063824133"/>
    <n v="257981.43401496293"/>
    <n v="5171.0576917235176"/>
    <n v="26797.932755547648"/>
    <n v="45.539510663335051"/>
  </r>
  <r>
    <s v="049353"/>
    <s v="Leipsic Local"/>
    <s v="Putnam"/>
    <x v="1"/>
    <n v="1"/>
    <x v="6"/>
    <n v="619.93390699999998"/>
    <n v="18288.050256499999"/>
    <n v="773.69675728798802"/>
    <n v="1.2480310377473642"/>
    <n v="8121.0293642081679"/>
    <n v="26409.079620708166"/>
    <n v="277348.14071693027"/>
    <n v="5559.249803442508"/>
    <n v="31968.329424150674"/>
    <n v="51.5673188112143"/>
  </r>
  <r>
    <s v="049361"/>
    <s v="Miller City-New Cleveland Local"/>
    <s v="Putnam"/>
    <x v="1"/>
    <n v="1"/>
    <x v="3"/>
    <n v="478.87582700000002"/>
    <n v="14126.836896500001"/>
    <n v="529.86503730606"/>
    <n v="1.1064768932386724"/>
    <n v="2693.0098744771199"/>
    <n v="16819.846770977121"/>
    <n v="360335.89377067739"/>
    <n v="7222.6813615543251"/>
    <n v="24042.528132531446"/>
    <n v="50.206184520003859"/>
  </r>
  <r>
    <s v="049379"/>
    <s v="Ottawa-Glandorf Local"/>
    <s v="Putnam"/>
    <x v="1"/>
    <n v="1"/>
    <x v="7"/>
    <n v="1489.187015"/>
    <n v="43931.016942499999"/>
    <n v="1778.6666568324499"/>
    <n v="1.1943877020929101"/>
    <n v="15288.950921882326"/>
    <n v="59219.967864382328"/>
    <n v="932747.44814547116"/>
    <n v="18696.271243644496"/>
    <n v="77916.239108026828"/>
    <n v="52.321325879964668"/>
  </r>
  <r>
    <s v="049387"/>
    <s v="Ottoville Local"/>
    <s v="Putnam"/>
    <x v="1"/>
    <n v="1"/>
    <x v="3"/>
    <n v="445.95943599999998"/>
    <n v="13155.803361999999"/>
    <n v="517.22466978472301"/>
    <n v="1.1598020538009717"/>
    <n v="3763.8939127945346"/>
    <n v="16919.697274794533"/>
    <n v="293840.21242566529"/>
    <n v="5889.8218641318199"/>
    <n v="22809.519138926353"/>
    <n v="51.147071454557931"/>
  </r>
  <r>
    <s v="049395"/>
    <s v="Pandora-Gilboa Local"/>
    <s v="Putnam"/>
    <x v="1"/>
    <n v="1"/>
    <x v="3"/>
    <n v="513.77270599999997"/>
    <n v="15156.294827"/>
    <n v="595.94961612950794"/>
    <n v="1.1599479870569613"/>
    <n v="4340.1972516229043"/>
    <n v="19496.492078622905"/>
    <n v="539189.34932489647"/>
    <n v="10807.673981532293"/>
    <n v="30304.166060155199"/>
    <n v="58.983604434905892"/>
  </r>
  <r>
    <s v="058826"/>
    <s v="St Anthony Of Padua"/>
    <s v="Putnam"/>
    <x v="0"/>
    <n v="1"/>
    <x v="0"/>
    <n v="95"/>
    <n v="2802.5"/>
    <n v="104.01140000000001"/>
    <n v="1.0948568421052634"/>
    <n v="475.93969463729775"/>
    <n v="3278.4396946372976"/>
    <n v="0"/>
    <n v="0"/>
    <n v="3278.4396946372976"/>
    <n v="34.509891522497867"/>
  </r>
  <r>
    <s v="059196"/>
    <s v="St Mary"/>
    <s v="Putnam"/>
    <x v="0"/>
    <n v="1"/>
    <x v="0"/>
    <n v="65"/>
    <n v="1917.5"/>
    <n v="70.861800000000002"/>
    <n v="1.0901815384615385"/>
    <n v="309.59266063263306"/>
    <n v="2227.0926606326329"/>
    <n v="0"/>
    <n v="0"/>
    <n v="2227.0926606326329"/>
    <n v="34.262964009732812"/>
  </r>
  <r>
    <s v="059394"/>
    <s v="Sts Peter And Paul"/>
    <s v="Putnam"/>
    <x v="0"/>
    <n v="1"/>
    <x v="0"/>
    <n v="270"/>
    <n v="7965"/>
    <n v="282.69839999999999"/>
    <n v="1.047031111111111"/>
    <n v="670.66966491136236"/>
    <n v="8635.6696649113619"/>
    <n v="0"/>
    <n v="0"/>
    <n v="8635.6696649113619"/>
    <n v="31.983961721893934"/>
  </r>
  <r>
    <s v="049411"/>
    <s v="Clear Fork Valley Local"/>
    <s v="Richland"/>
    <x v="1"/>
    <n v="1"/>
    <x v="1"/>
    <n v="1654.4531649999999"/>
    <n v="48806.368367499999"/>
    <n v="2007.44013061838"/>
    <n v="1.2133556712790841"/>
    <n v="18643.108576620496"/>
    <n v="67449.476944120499"/>
    <n v="1044703.8265533549"/>
    <n v="20940.35866766439"/>
    <n v="88389.835611784889"/>
    <n v="53.425408153989594"/>
  </r>
  <r>
    <s v="049429"/>
    <s v="Crestview Local"/>
    <s v="Richland"/>
    <x v="1"/>
    <n v="1"/>
    <x v="3"/>
    <n v="1029.2281410000001"/>
    <n v="30362.230159500003"/>
    <n v="1186.8707155525001"/>
    <n v="1.1531658223018797"/>
    <n v="8325.9381221956883"/>
    <n v="38688.168281695689"/>
    <n v="839327.44404801016"/>
    <n v="16823.732498391226"/>
    <n v="55511.900780086915"/>
    <n v="53.935467335892554"/>
  </r>
  <r>
    <s v="070789"/>
    <s v="Discovery"/>
    <s v="Richland"/>
    <x v="0"/>
    <n v="1"/>
    <x v="0"/>
    <n v="84"/>
    <n v="2478"/>
    <n v="84"/>
    <n v="1"/>
    <n v="0"/>
    <n v="2478"/>
    <n v="0"/>
    <n v="0"/>
    <n v="2478"/>
    <n v="29.5"/>
  </r>
  <r>
    <s v="009192"/>
    <s v="Foundation Academy"/>
    <s v="Richland"/>
    <x v="4"/>
    <n v="1"/>
    <x v="8"/>
    <n v="395.65279600000002"/>
    <n v="11671.757482000001"/>
    <n v="521.75822455877096"/>
    <n v="1.3187275051097349"/>
    <n v="6660.2946446020524"/>
    <n v="18332.052126602051"/>
    <n v="0"/>
    <n v="0"/>
    <n v="18332.052126602051"/>
    <n v="46.333685271371245"/>
  </r>
  <r>
    <s v="149047"/>
    <s v="Goal Digital Academy"/>
    <s v="Richland"/>
    <x v="4"/>
    <n v="1"/>
    <x v="5"/>
    <n v="649.99051599999996"/>
    <n v="3834.9440444000002"/>
    <n v="907.240210401784"/>
    <n v="1.3957745352730409"/>
    <n v="0"/>
    <n v="3834.9440444000002"/>
    <n v="0"/>
    <n v="0"/>
    <n v="3834.9440444000002"/>
    <n v="5.9"/>
  </r>
  <r>
    <s v="000905"/>
    <s v="Interactive Media &amp; Construction (IMAC)"/>
    <s v="Richland"/>
    <x v="4"/>
    <n v="1"/>
    <x v="8"/>
    <n v="42.811959000000002"/>
    <n v="1262.9527905"/>
    <n v="62.653444906723998"/>
    <n v="1.4634566221724168"/>
    <n v="1047.9338109057921"/>
    <n v="2310.8866014057921"/>
    <n v="0"/>
    <n v="0"/>
    <n v="2310.8866014057921"/>
    <n v="53.97759540519489"/>
  </r>
  <r>
    <s v="049437"/>
    <s v="Lexington Local"/>
    <s v="Richland"/>
    <x v="1"/>
    <n v="1"/>
    <x v="10"/>
    <n v="2362.4687439999998"/>
    <n v="69692.827947999991"/>
    <n v="2801.1991831646401"/>
    <n v="1.1857084629284054"/>
    <n v="23171.674905575848"/>
    <n v="92864.502853575832"/>
    <n v="1295143.6443389514"/>
    <n v="25960.24992851742"/>
    <n v="118824.75278209324"/>
    <n v="50.296857083876517"/>
  </r>
  <r>
    <s v="049445"/>
    <s v="Lucas Local"/>
    <s v="Richland"/>
    <x v="1"/>
    <n v="1"/>
    <x v="3"/>
    <n v="489.36316299999999"/>
    <n v="14436.213308499999"/>
    <n v="566.47995648523602"/>
    <n v="1.1575860205996666"/>
    <n v="4072.9457290510632"/>
    <n v="18509.15903755106"/>
    <n v="330895.96989748877"/>
    <n v="6632.5786459481424"/>
    <n v="25141.737683499203"/>
    <n v="51.376441024636755"/>
  </r>
  <r>
    <s v="049452"/>
    <s v="Madison Local"/>
    <s v="Richland"/>
    <x v="1"/>
    <n v="1"/>
    <x v="6"/>
    <n v="2968.8083160000001"/>
    <n v="87579.845322000008"/>
    <n v="3746.8142775546598"/>
    <n v="1.2620600182779398"/>
    <n v="41090.609646483514"/>
    <n v="128670.45496848352"/>
    <n v="1770041.5014273566"/>
    <n v="35479.245844082339"/>
    <n v="164149.70081256586"/>
    <n v="55.291444694459642"/>
  </r>
  <r>
    <s v="067629"/>
    <s v="Mansfield Christian School"/>
    <s v="Richland"/>
    <x v="0"/>
    <n v="1"/>
    <x v="0"/>
    <n v="469"/>
    <n v="13835.5"/>
    <n v="511.15859999999998"/>
    <n v="1.0898904051172706"/>
    <n v="2226.6186397602978"/>
    <n v="16062.118639760298"/>
    <n v="0"/>
    <n v="0"/>
    <n v="16062.118639760298"/>
    <n v="34.247587718039014"/>
  </r>
  <r>
    <s v="044297"/>
    <s v="Mansfield City"/>
    <s v="Richland"/>
    <x v="1"/>
    <n v="1"/>
    <x v="9"/>
    <n v="3286.6747399999999"/>
    <n v="96956.904829999999"/>
    <n v="5026.6847711649898"/>
    <n v="1.5294135163387022"/>
    <n v="91899.132531959433"/>
    <n v="188856.03736195943"/>
    <n v="2009057.6838346901"/>
    <n v="40270.158311109517"/>
    <n v="229126.19567306896"/>
    <n v="69.713681394913138"/>
  </r>
  <r>
    <s v="114751"/>
    <s v="Mansfield Seventh-Day Advent"/>
    <s v="Richland"/>
    <x v="0"/>
    <n v="1"/>
    <x v="0"/>
    <n v="19"/>
    <n v="560.5"/>
    <n v="21.212199999999999"/>
    <n v="1.1164315789473684"/>
    <n v="116.83798216443932"/>
    <n v="677.33798216443938"/>
    <n v="0"/>
    <n v="0"/>
    <n v="677.33798216443938"/>
    <n v="35.649367482338917"/>
  </r>
  <r>
    <s v="049478"/>
    <s v="Ontario Local"/>
    <s v="Richland"/>
    <x v="1"/>
    <n v="1"/>
    <x v="7"/>
    <n v="2022.3609369999999"/>
    <n v="59659.6476415"/>
    <n v="2337.34679152219"/>
    <n v="1.1557515519407948"/>
    <n v="16636.06891452596"/>
    <n v="76295.71655602596"/>
    <n v="1118183.4136764398"/>
    <n v="22413.205679420509"/>
    <n v="98708.922235446473"/>
    <n v="48.808756354774509"/>
  </r>
  <r>
    <s v="051417"/>
    <s v="Pioneer Career &amp; Technology"/>
    <s v="Richland"/>
    <x v="3"/>
    <n v="1"/>
    <x v="4"/>
    <n v="1319.7414349999999"/>
    <n v="38932.372332499996"/>
    <n v="1676.3024634624001"/>
    <n v="1.2701749138174177"/>
    <n v="18831.873738370883"/>
    <n v="57764.246070870882"/>
    <n v="0"/>
    <n v="0"/>
    <n v="57764.246070870882"/>
    <n v="43.769366134110115"/>
  </r>
  <r>
    <s v="049460"/>
    <s v="Plymouth-Shiloh Local"/>
    <s v="Richland"/>
    <x v="1"/>
    <n v="1"/>
    <x v="1"/>
    <n v="678.74039700000003"/>
    <n v="20022.841711500001"/>
    <n v="830.64151041897401"/>
    <n v="1.2237985452028044"/>
    <n v="8022.7011935650316"/>
    <n v="28045.542905065035"/>
    <n v="518468.55330685311"/>
    <n v="10392.340095057645"/>
    <n v="38437.883000122682"/>
    <n v="56.631199748852843"/>
  </r>
  <r>
    <s v="058727"/>
    <s v="Sacred Heart"/>
    <s v="Richland"/>
    <x v="0"/>
    <n v="1"/>
    <x v="0"/>
    <n v="91"/>
    <n v="2684.5"/>
    <n v="101.56180000000001"/>
    <n v="1.1160637362637362"/>
    <n v="557.82451858980937"/>
    <n v="3242.3245185898095"/>
    <n v="0"/>
    <n v="0"/>
    <n v="3242.3245185898095"/>
    <n v="35.629939764723183"/>
  </r>
  <r>
    <s v="044776"/>
    <s v="Shelby City"/>
    <s v="Richland"/>
    <x v="1"/>
    <n v="1"/>
    <x v="6"/>
    <n v="1880.5873570000001"/>
    <n v="55477.327031500005"/>
    <n v="2319.1858217910999"/>
    <n v="1.2332241909202093"/>
    <n v="23164.704640906337"/>
    <n v="78642.031672406345"/>
    <n v="854885.56592807209"/>
    <n v="17135.584186958862"/>
    <n v="95777.615859365207"/>
    <n v="50.929628715655141"/>
  </r>
  <r>
    <s v="058628"/>
    <s v="St Mary"/>
    <s v="Richland"/>
    <x v="0"/>
    <n v="1"/>
    <x v="0"/>
    <n v="66"/>
    <n v="1947"/>
    <n v="77.9114"/>
    <n v="1.1804757575757576"/>
    <n v="629.10403252576759"/>
    <n v="2576.1040325257677"/>
    <n v="0"/>
    <n v="0"/>
    <n v="2576.1040325257677"/>
    <n v="39.031879280693452"/>
  </r>
  <r>
    <s v="059204"/>
    <s v="St Mary Catholic School"/>
    <s v="Richland"/>
    <x v="0"/>
    <n v="1"/>
    <x v="0"/>
    <n v="67"/>
    <n v="1976.5"/>
    <n v="77.774000000000001"/>
    <n v="1.1608059701492537"/>
    <n v="569.03192290013101"/>
    <n v="2545.5319229001311"/>
    <n v="0"/>
    <n v="0"/>
    <n v="2545.5319229001311"/>
    <n v="37.993013774628821"/>
  </r>
  <r>
    <s v="059378"/>
    <s v="St Peter"/>
    <s v="Richland"/>
    <x v="0"/>
    <n v="1"/>
    <x v="0"/>
    <n v="130"/>
    <n v="3835"/>
    <n v="149.79840000000002"/>
    <n v="1.1522953846153847"/>
    <n v="1045.6582162934808"/>
    <n v="4880.658216293481"/>
    <n v="0"/>
    <n v="0"/>
    <n v="4880.658216293481"/>
    <n v="37.543524740719086"/>
  </r>
  <r>
    <s v="053785"/>
    <s v="St Peter High School and Junior High School"/>
    <s v="Richland"/>
    <x v="0"/>
    <n v="1"/>
    <x v="0"/>
    <n v="203"/>
    <n v="5988.5"/>
    <n v="235.84640000000002"/>
    <n v="1.1618049261083745"/>
    <n v="1734.7921062137432"/>
    <n v="7723.292106213743"/>
    <n v="0"/>
    <n v="0"/>
    <n v="7723.292106213743"/>
    <n v="38.045773922235185"/>
  </r>
  <r>
    <s v="011967"/>
    <s v="The Richland School of Academic Arts"/>
    <s v="Richland"/>
    <x v="4"/>
    <n v="1"/>
    <x v="8"/>
    <n v="313.82931500000001"/>
    <n v="9257.9647925000008"/>
    <n v="361.30029768366001"/>
    <n v="1.1512636978596471"/>
    <n v="2507.1936660889055"/>
    <n v="11765.158458588907"/>
    <n v="0"/>
    <n v="0"/>
    <n v="11765.158458588907"/>
    <n v="37.48903590663258"/>
  </r>
  <r>
    <s v="049494"/>
    <s v="Adena Local"/>
    <s v="Ross"/>
    <x v="1"/>
    <n v="1"/>
    <x v="3"/>
    <n v="1191.540471"/>
    <n v="35150.4438945"/>
    <n v="1398.3632682515799"/>
    <n v="1.1735759735277844"/>
    <n v="10923.405793544685"/>
    <n v="46073.849688044684"/>
    <n v="909537.4498349916"/>
    <n v="18231.043035472998"/>
    <n v="64304.892723517682"/>
    <n v="53.967862853663561"/>
  </r>
  <r>
    <s v="057992"/>
    <s v="Bishop Flaget School"/>
    <s v="Ross"/>
    <x v="0"/>
    <n v="1"/>
    <x v="0"/>
    <n v="173"/>
    <n v="5103.5"/>
    <n v="197.19759999999999"/>
    <n v="1.1398705202312138"/>
    <n v="1278.0032353413965"/>
    <n v="6381.5032353413962"/>
    <n v="0"/>
    <n v="0"/>
    <n v="6381.5032353413962"/>
    <n v="36.887301938389577"/>
  </r>
  <r>
    <s v="043745"/>
    <s v="Chillicothe City"/>
    <s v="Ross"/>
    <x v="1"/>
    <n v="1"/>
    <x v="6"/>
    <n v="2629.7694769999998"/>
    <n v="77578.199571499994"/>
    <n v="3526.3165223890601"/>
    <n v="1.3409222949883148"/>
    <n v="47351.391238924072"/>
    <n v="124929.59081042407"/>
    <n v="1253458.1289402987"/>
    <n v="25124.692882101594"/>
    <n v="150054.28369252567"/>
    <n v="57.05986209243909"/>
  </r>
  <r>
    <s v="049502"/>
    <s v="Huntington Local"/>
    <s v="Ross"/>
    <x v="1"/>
    <n v="1"/>
    <x v="3"/>
    <n v="1047.2140850000001"/>
    <n v="30892.815507500003"/>
    <n v="1447.53792439575"/>
    <n v="1.3822750716686072"/>
    <n v="21143.219242075997"/>
    <n v="52036.034749576"/>
    <n v="1090829.6043643267"/>
    <n v="21864.917673419513"/>
    <n v="73900.952422995513"/>
    <n v="70.569097075308633"/>
  </r>
  <r>
    <s v="011374"/>
    <s v="Paint Creek Academy"/>
    <s v="Ross"/>
    <x v="0"/>
    <n v="1"/>
    <x v="0"/>
    <n v="40"/>
    <n v="1180"/>
    <n v="40"/>
    <n v="1"/>
    <n v="0"/>
    <n v="1180"/>
    <n v="0"/>
    <n v="0"/>
    <n v="1180"/>
    <n v="29.5"/>
  </r>
  <r>
    <s v="049510"/>
    <s v="Paint Valley Local"/>
    <s v="Ross"/>
    <x v="1"/>
    <n v="1"/>
    <x v="3"/>
    <n v="842.80565899999999"/>
    <n v="24862.766940500002"/>
    <n v="1125.1549898036401"/>
    <n v="1.3350111947974475"/>
    <n v="14912.36148475594"/>
    <n v="39775.128425255942"/>
    <n v="713575.36962307384"/>
    <n v="14303.11998149383"/>
    <n v="54078.248406749772"/>
    <n v="64.16455303695318"/>
  </r>
  <r>
    <s v="051433"/>
    <s v="Pickaway-Ross County JVSD"/>
    <s v="Ross"/>
    <x v="3"/>
    <n v="1"/>
    <x v="4"/>
    <n v="1140.805456"/>
    <n v="33653.760952000004"/>
    <n v="1500.9406106827701"/>
    <n v="1.3156849862425359"/>
    <n v="19020.642247361495"/>
    <n v="52674.403199361499"/>
    <n v="0"/>
    <n v="0"/>
    <n v="52674.403199361499"/>
    <n v="46.172993758334108"/>
  </r>
  <r>
    <n v="66225"/>
    <s v="Ross County Board of DD"/>
    <s v="Ross"/>
    <x v="2"/>
    <n v="1"/>
    <x v="2"/>
    <n v="95.320000000000007"/>
    <n v="2811.94"/>
    <n v="462.22025400000007"/>
    <n v="4.8491424045321025"/>
    <n v="19377.942922421247"/>
    <n v="22189.882922421246"/>
    <n v="0"/>
    <n v="0"/>
    <n v="22189.882922421246"/>
    <n v="232.79356821675665"/>
  </r>
  <r>
    <s v="011576"/>
    <s v="Ross County Christian Academy"/>
    <s v="Ross"/>
    <x v="0"/>
    <n v="1"/>
    <x v="0"/>
    <n v="281"/>
    <n v="8289.5"/>
    <n v="281"/>
    <n v="1"/>
    <n v="0"/>
    <n v="8289.5"/>
    <n v="0"/>
    <n v="0"/>
    <n v="8289.5"/>
    <n v="29.5"/>
  </r>
  <r>
    <s v="049528"/>
    <s v="Southeastern Local"/>
    <s v="Ross"/>
    <x v="1"/>
    <n v="1"/>
    <x v="1"/>
    <n v="1017.258276"/>
    <n v="30009.119142"/>
    <n v="1258.98017197993"/>
    <n v="1.237620967735366"/>
    <n v="12766.611776176442"/>
    <n v="42775.730918176443"/>
    <n v="1038519.7273375957"/>
    <n v="20816.402717352947"/>
    <n v="63592.13363552939"/>
    <n v="62.513262497683911"/>
  </r>
  <r>
    <s v="049536"/>
    <s v="Union-Scioto Local"/>
    <s v="Ross"/>
    <x v="1"/>
    <n v="1"/>
    <x v="7"/>
    <n v="2098.716199"/>
    <n v="61912.1278705"/>
    <n v="2419.9824696117098"/>
    <n v="1.1530775198498908"/>
    <n v="16967.770904876099"/>
    <n v="78879.898775376103"/>
    <n v="1124385.5310486169"/>
    <n v="22537.52279109494"/>
    <n v="101417.42156647105"/>
    <n v="48.323552090937596"/>
  </r>
  <r>
    <s v="049544"/>
    <s v="Zane Trace Local"/>
    <s v="Ross"/>
    <x v="1"/>
    <n v="1"/>
    <x v="7"/>
    <n v="1247.3877299999999"/>
    <n v="36797.938034999999"/>
    <n v="1508.8698487408001"/>
    <n v="1.2096237701013783"/>
    <n v="13810.253650554843"/>
    <n v="50608.191685554841"/>
    <n v="1074178.8961669779"/>
    <n v="21531.165855094674"/>
    <n v="72139.357540649507"/>
    <n v="57.832344992402248"/>
  </r>
  <r>
    <s v="053686"/>
    <s v="Bishop Hoffman Catholic, St Joseph Central Catholic HS"/>
    <s v="Sandusky"/>
    <x v="0"/>
    <n v="1"/>
    <x v="0"/>
    <n v="470"/>
    <n v="13865"/>
    <n v="499.17239999999998"/>
    <n v="1.0620689361702127"/>
    <n v="1540.7487346957278"/>
    <n v="15405.748734695728"/>
    <n v="0"/>
    <n v="0"/>
    <n v="15405.748734695728"/>
    <n v="32.778188797224949"/>
  </r>
  <r>
    <s v="045302"/>
    <s v="Clyde-Green Springs Exempted Village"/>
    <s v="Sandusky"/>
    <x v="1"/>
    <n v="1"/>
    <x v="6"/>
    <n v="2121.3729370000001"/>
    <n v="62580.501641499999"/>
    <n v="2590.7559110468701"/>
    <n v="1.2212637702028297"/>
    <n v="24790.597391727559"/>
    <n v="87371.099033227554"/>
    <n v="1505946.5466733505"/>
    <n v="30185.64689832693"/>
    <n v="117556.74593155448"/>
    <n v="55.415407579301309"/>
  </r>
  <r>
    <s v="044016"/>
    <s v="Fremont City"/>
    <s v="Sandusky"/>
    <x v="1"/>
    <n v="1"/>
    <x v="6"/>
    <n v="3519.4207299999998"/>
    <n v="103822.91153499999"/>
    <n v="4459.5865822580499"/>
    <n v="1.2671365330788542"/>
    <n v="49655.13112636334"/>
    <n v="153478.04266136332"/>
    <n v="1890347.7097055905"/>
    <n v="37890.699777016023"/>
    <n v="191368.74243837933"/>
    <n v="54.375068262548801"/>
  </r>
  <r>
    <s v="045385"/>
    <s v="Gibsonburg Exempted Village"/>
    <s v="Sandusky"/>
    <x v="1"/>
    <n v="1"/>
    <x v="3"/>
    <n v="877.34738200000004"/>
    <n v="25881.747769000001"/>
    <n v="1007.60700371796"/>
    <n v="1.1484698357690659"/>
    <n v="6879.6995565634306"/>
    <n v="32761.447325563433"/>
    <n v="205718.8159852727"/>
    <n v="4123.4900092508205"/>
    <n v="36884.937334814254"/>
    <n v="42.04142861944991"/>
  </r>
  <r>
    <s v="049569"/>
    <s v="Lakota Local"/>
    <s v="Sandusky"/>
    <x v="1"/>
    <n v="1"/>
    <x v="1"/>
    <n v="1005.703805"/>
    <n v="29668.262247499999"/>
    <n v="1158.07471391734"/>
    <n v="1.1515067439934166"/>
    <n v="8047.5135785478642"/>
    <n v="37715.775826047866"/>
    <n v="1335907.7585993202"/>
    <n v="26777.338132547447"/>
    <n v="64493.113958595313"/>
    <n v="64.127344092722524"/>
  </r>
  <r>
    <n v="66233"/>
    <s v="Sandusky County Bd of DD"/>
    <s v="Sandusky"/>
    <x v="2"/>
    <n v="1"/>
    <x v="2"/>
    <n v="21.659999999999997"/>
    <n v="638.96999999999991"/>
    <n v="94.800218999999984"/>
    <n v="4.3767414127423825"/>
    <n v="3862.9217986733511"/>
    <n v="4501.8917986733513"/>
    <n v="0"/>
    <n v="0"/>
    <n v="4501.8917986733513"/>
    <n v="207.84357334595347"/>
  </r>
  <r>
    <s v="060863"/>
    <s v="Solomon Lutheran"/>
    <s v="Sandusky"/>
    <x v="0"/>
    <n v="1"/>
    <x v="0"/>
    <n v="67"/>
    <n v="1976.5"/>
    <n v="69.237399999999994"/>
    <n v="1.0333940298507462"/>
    <n v="118.16892744540093"/>
    <n v="2094.6689274454011"/>
    <n v="0"/>
    <n v="0"/>
    <n v="2094.6689274454011"/>
    <n v="31.263715335005987"/>
  </r>
  <r>
    <s v="051458"/>
    <s v="Vanguard-Sentinel Career &amp; Technology Centers"/>
    <s v="Sandusky"/>
    <x v="3"/>
    <n v="1"/>
    <x v="4"/>
    <n v="744.28912400000002"/>
    <n v="21956.529158000001"/>
    <n v="921.32401935175301"/>
    <n v="1.237857694870405"/>
    <n v="9350.1491481744451"/>
    <n v="31306.678306174446"/>
    <n v="0"/>
    <n v="0"/>
    <n v="31306.678306174446"/>
    <n v="42.062522878104616"/>
  </r>
  <r>
    <s v="049577"/>
    <s v="Woodmore Local"/>
    <s v="Sandusky"/>
    <x v="1"/>
    <n v="1"/>
    <x v="7"/>
    <n v="934.71157500000004"/>
    <n v="27573.991462500002"/>
    <n v="1101.37768179267"/>
    <n v="1.1783075242142689"/>
    <n v="8802.5185846028944"/>
    <n v="36376.5100471029"/>
    <n v="1046975.359011776"/>
    <n v="20985.889949541201"/>
    <n v="57362.399996644104"/>
    <n v="61.369091312091754"/>
  </r>
  <r>
    <s v="049593"/>
    <s v="Bloom-Vernon Local"/>
    <s v="Scioto"/>
    <x v="1"/>
    <n v="1"/>
    <x v="3"/>
    <n v="842.98540400000002"/>
    <n v="24868.069417999999"/>
    <n v="1034.1150242721201"/>
    <n v="1.2267294538733438"/>
    <n v="10094.566117191047"/>
    <n v="34962.635535191046"/>
    <n v="1316040.5962176933"/>
    <n v="26379.114736206942"/>
    <n v="61341.750271397992"/>
    <n v="72.767274475131941"/>
  </r>
  <r>
    <s v="049601"/>
    <s v="Clay Local"/>
    <s v="Scioto"/>
    <x v="1"/>
    <n v="1"/>
    <x v="1"/>
    <n v="688.38730999999996"/>
    <n v="20307.425644999999"/>
    <n v="847.35869224032604"/>
    <n v="1.2309330516861592"/>
    <n v="8396.1194841567176"/>
    <n v="28703.545129156715"/>
    <n v="497276.10268796899"/>
    <n v="9967.5522214740922"/>
    <n v="38671.097350630807"/>
    <n v="56.176365817421605"/>
  </r>
  <r>
    <s v="049619"/>
    <s v="Green Local"/>
    <s v="Scioto"/>
    <x v="1"/>
    <n v="1"/>
    <x v="1"/>
    <n v="569.82509900000002"/>
    <n v="16809.840420500001"/>
    <n v="689.47368674626398"/>
    <n v="1.2099742323675076"/>
    <n v="6319.2747315334718"/>
    <n v="23129.115152033472"/>
    <n v="626636.3619114944"/>
    <n v="12560.488282998433"/>
    <n v="35689.603435031902"/>
    <n v="62.632557775472613"/>
  </r>
  <r>
    <s v="049627"/>
    <s v="Minford Local"/>
    <s v="Scioto"/>
    <x v="1"/>
    <n v="1"/>
    <x v="3"/>
    <n v="1327.7864239999999"/>
    <n v="39169.699507999998"/>
    <n v="1696.5101175452501"/>
    <n v="1.2776980445653736"/>
    <n v="19474.248408844654"/>
    <n v="58643.947916844656"/>
    <n v="1520629.7639533253"/>
    <n v="30479.961735147543"/>
    <n v="89123.909651992202"/>
    <n v="67.122172693635108"/>
  </r>
  <r>
    <s v="044461"/>
    <s v="New Boston Local"/>
    <s v="Scioto"/>
    <x v="1"/>
    <n v="1"/>
    <x v="6"/>
    <n v="414.43161099999998"/>
    <n v="12225.732524499999"/>
    <n v="588.76559616622001"/>
    <n v="1.4206580302732266"/>
    <n v="9207.4997963594851"/>
    <n v="21433.232320859483"/>
    <n v="85913.651268617425"/>
    <n v="1722.0791446211931"/>
    <n v="23155.311465480674"/>
    <n v="55.872454829418587"/>
  </r>
  <r>
    <s v="049635"/>
    <s v="Northwest Local"/>
    <s v="Scioto"/>
    <x v="1"/>
    <n v="1"/>
    <x v="3"/>
    <n v="1331.467218"/>
    <n v="39278.282931000002"/>
    <n v="1809.38069231949"/>
    <n v="1.358937469776661"/>
    <n v="25241.138228318337"/>
    <n v="64519.421159318343"/>
    <n v="2592012.5551831904"/>
    <n v="51955.081619348486"/>
    <n v="116474.50277866682"/>
    <n v="87.478310546483783"/>
  </r>
  <r>
    <s v="058040"/>
    <s v="Notre Dame"/>
    <s v="Scioto"/>
    <x v="0"/>
    <n v="1"/>
    <x v="0"/>
    <n v="185"/>
    <n v="5457.5"/>
    <n v="203.79840000000002"/>
    <n v="1.1016129729729731"/>
    <n v="992.84292736642203"/>
    <n v="6450.3429273664224"/>
    <n v="0"/>
    <n v="0"/>
    <n v="6450.3429273664224"/>
    <n v="34.866718526304986"/>
  </r>
  <r>
    <s v="053363"/>
    <s v="Notre Dame Jr/Sr"/>
    <s v="Scioto"/>
    <x v="0"/>
    <n v="1"/>
    <x v="0"/>
    <n v="144"/>
    <n v="4248"/>
    <n v="167.67240000000001"/>
    <n v="1.1643916666666667"/>
    <n v="1250.2646455969061"/>
    <n v="5498.2646455969061"/>
    <n v="0"/>
    <n v="0"/>
    <n v="5498.2646455969061"/>
    <n v="38.182393372200735"/>
  </r>
  <r>
    <s v="044669"/>
    <s v="Portsmouth City"/>
    <s v="Scioto"/>
    <x v="1"/>
    <n v="1"/>
    <x v="6"/>
    <n v="1669.357497"/>
    <n v="49246.046161500002"/>
    <n v="2537.9267005624001"/>
    <n v="1.5203014963081931"/>
    <n v="45873.733439293472"/>
    <n v="95119.779600793467"/>
    <n v="467017.79843520367"/>
    <n v="9361.0456426491328"/>
    <n v="104480.8252434426"/>
    <n v="62.587447824210777"/>
  </r>
  <r>
    <s v="015331"/>
    <s v="Portsmouth Stem Academy"/>
    <s v="Scioto"/>
    <x v="0"/>
    <n v="1"/>
    <x v="0"/>
    <n v="135"/>
    <n v="3982.5"/>
    <n v="186.59360000000001"/>
    <n v="1.382174814814815"/>
    <n v="2724.9308907870986"/>
    <n v="6707.4308907870982"/>
    <n v="0"/>
    <n v="0"/>
    <n v="6707.4308907870982"/>
    <n v="49.684673265089614"/>
  </r>
  <r>
    <n v="78063"/>
    <s v="Scioto County Board of DD"/>
    <s v="Scioto"/>
    <x v="2"/>
    <n v="1"/>
    <x v="2"/>
    <n v="69.25"/>
    <n v="2042.875"/>
    <n v="339.31212099999999"/>
    <n v="4.8998140216606494"/>
    <n v="14263.408948869301"/>
    <n v="16306.283948869301"/>
    <n v="0"/>
    <n v="0"/>
    <n v="16306.283948869301"/>
    <n v="235.46980431580218"/>
  </r>
  <r>
    <s v="051490"/>
    <s v="Scioto County Career Technical Center"/>
    <s v="Scioto"/>
    <x v="3"/>
    <n v="1"/>
    <x v="4"/>
    <n v="575.41574000000003"/>
    <n v="16974.764330000002"/>
    <n v="807.84613255363195"/>
    <n v="1.4039347143226077"/>
    <n v="12275.878338149754"/>
    <n v="29250.642668149754"/>
    <n v="0"/>
    <n v="0"/>
    <n v="29250.642668149754"/>
    <n v="50.833928644617458"/>
  </r>
  <r>
    <s v="143644"/>
    <s v="Sciotoville"/>
    <s v="Scioto"/>
    <x v="4"/>
    <n v="1"/>
    <x v="8"/>
    <n v="388.39015899999998"/>
    <n v="11457.509690499999"/>
    <n v="552.94850724190701"/>
    <n v="1.4236934032149537"/>
    <n v="8691.1967077558693"/>
    <n v="20148.706398255868"/>
    <n v="0"/>
    <n v="0"/>
    <n v="20148.706398255868"/>
    <n v="51.87748950728659"/>
  </r>
  <r>
    <s v="049643"/>
    <s v="Valley Local"/>
    <s v="Scioto"/>
    <x v="1"/>
    <n v="1"/>
    <x v="3"/>
    <n v="1047.350639"/>
    <n v="30896.843850500001"/>
    <n v="1284.01507278604"/>
    <n v="1.2259648535775993"/>
    <n v="12499.500449168469"/>
    <n v="43396.344299668468"/>
    <n v="1124493.2864960122"/>
    <n v="22539.682673790401"/>
    <n v="65936.026973458866"/>
    <n v="62.955064443760619"/>
  </r>
  <r>
    <s v="049650"/>
    <s v="Washington-Nile Local"/>
    <s v="Scioto"/>
    <x v="1"/>
    <n v="1"/>
    <x v="3"/>
    <n v="1433.554922"/>
    <n v="42289.870199000005"/>
    <n v="1961.31949974892"/>
    <n v="1.3681509300059589"/>
    <n v="27874.038659276368"/>
    <n v="70163.90885827638"/>
    <n v="1455926.8942390741"/>
    <n v="29183.037894910816"/>
    <n v="99346.946753187192"/>
    <n v="69.30110959026598"/>
  </r>
  <r>
    <s v="049668"/>
    <s v="Wheelersburg Local"/>
    <s v="Scioto"/>
    <x v="1"/>
    <n v="1"/>
    <x v="7"/>
    <n v="1576.687985"/>
    <n v="46512.295557500001"/>
    <n v="1863.74534116427"/>
    <n v="1.1820635147189695"/>
    <n v="15161.017204453528"/>
    <n v="61673.31276195353"/>
    <n v="599192.65256121778"/>
    <n v="12010.398293511274"/>
    <n v="73683.71105546481"/>
    <n v="46.733222905522936"/>
  </r>
  <r>
    <s v="000311"/>
    <s v="Bridges Community Academy"/>
    <s v="Seneca"/>
    <x v="4"/>
    <n v="1"/>
    <x v="8"/>
    <n v="138.51872700000001"/>
    <n v="4086.3024465000003"/>
    <n v="204.896096187463"/>
    <n v="1.4791941900206964"/>
    <n v="3505.7399318539051"/>
    <n v="7592.0423783539054"/>
    <n v="0"/>
    <n v="0"/>
    <n v="7592.0423783539054"/>
    <n v="54.808779598110981"/>
  </r>
  <r>
    <s v="052779"/>
    <s v="Calvert Catholic Schools"/>
    <s v="Seneca"/>
    <x v="0"/>
    <n v="1"/>
    <x v="0"/>
    <n v="428"/>
    <n v="12626"/>
    <n v="468.34559999999999"/>
    <n v="1.0942654205607476"/>
    <n v="2130.8645209355409"/>
    <n v="14756.864520935542"/>
    <n v="0"/>
    <n v="0"/>
    <n v="14756.864520935542"/>
    <n v="34.478655422746591"/>
  </r>
  <r>
    <s v="043992"/>
    <s v="Fostoria City"/>
    <s v="Seneca"/>
    <x v="1"/>
    <n v="1"/>
    <x v="6"/>
    <n v="1811.683779"/>
    <n v="53444.671480500001"/>
    <n v="2373.80101097533"/>
    <n v="1.3102733702708336"/>
    <n v="29688.38401765556"/>
    <n v="83133.055498155562"/>
    <n v="820585.51374253898"/>
    <n v="16448.063593247334"/>
    <n v="99581.119091402899"/>
    <n v="54.966059886217536"/>
  </r>
  <r>
    <s v="049700"/>
    <s v="Hopewell-Loudon Local"/>
    <s v="Seneca"/>
    <x v="1"/>
    <n v="1"/>
    <x v="7"/>
    <n v="789.52959599999997"/>
    <n v="23291.123081999998"/>
    <n v="899.07124168771804"/>
    <n v="1.1387429252084909"/>
    <n v="5785.4736665423288"/>
    <n v="29076.596748542328"/>
    <n v="484201.20678385708"/>
    <n v="9705.4750635127148"/>
    <n v="38782.071812055045"/>
    <n v="49.120478837699004"/>
  </r>
  <r>
    <s v="049718"/>
    <s v="New Riegel Local"/>
    <s v="Seneca"/>
    <x v="1"/>
    <n v="1"/>
    <x v="3"/>
    <n v="391.67575699999998"/>
    <n v="11554.434831499999"/>
    <n v="438.62438335706003"/>
    <n v="1.1198660512375291"/>
    <n v="2479.6052657766522"/>
    <n v="14034.040097276651"/>
    <n v="302228.60066444468"/>
    <n v="6057.9612486147635"/>
    <n v="20092.001345891415"/>
    <n v="51.297536257500397"/>
  </r>
  <r>
    <s v="012054"/>
    <s v="North Central Academy "/>
    <s v="Seneca"/>
    <x v="4"/>
    <n v="1"/>
    <x v="8"/>
    <n v="91.406790999999998"/>
    <n v="2696.5003345"/>
    <n v="169.78746810912699"/>
    <n v="1.8574929307946824"/>
    <n v="4139.698107817042"/>
    <n v="6836.1984423170416"/>
    <n v="0"/>
    <n v="0"/>
    <n v="6836.1984423170416"/>
    <n v="74.788736892831537"/>
  </r>
  <r>
    <s v="049726"/>
    <s v="Old Fort Local"/>
    <s v="Seneca"/>
    <x v="1"/>
    <n v="1"/>
    <x v="3"/>
    <n v="615.88950799999998"/>
    <n v="18168.740485999999"/>
    <n v="724.40878438087896"/>
    <n v="1.1761992613468566"/>
    <n v="5731.4769362114657"/>
    <n v="23900.217422211463"/>
    <n v="612563.02546488412"/>
    <n v="12278.398081591784"/>
    <n v="36178.615503803245"/>
    <n v="58.742055245083421"/>
  </r>
  <r>
    <n v="66241"/>
    <s v="Seneca County Board of DD"/>
    <s v="Seneca"/>
    <x v="2"/>
    <n v="1"/>
    <x v="2"/>
    <n v="50.55"/>
    <n v="1491.2249999999999"/>
    <n v="227.60420999999999"/>
    <n v="4.5025560830860538"/>
    <n v="9351.1692569021343"/>
    <n v="10842.394256902135"/>
    <n v="0"/>
    <n v="0"/>
    <n v="10842.394256902135"/>
    <n v="214.48851151141713"/>
  </r>
  <r>
    <s v="049684"/>
    <s v="Seneca East Local"/>
    <s v="Seneca"/>
    <x v="1"/>
    <n v="1"/>
    <x v="3"/>
    <n v="861.84511399999997"/>
    <n v="25424.430862999998"/>
    <n v="994.08291920765203"/>
    <n v="1.1534356963444501"/>
    <n v="6984.1778891222575"/>
    <n v="32408.608752122254"/>
    <n v="1024555.5589093979"/>
    <n v="20536.500712641373"/>
    <n v="52945.109464763627"/>
    <n v="61.432278961395411"/>
  </r>
  <r>
    <s v="044891"/>
    <s v="Tiffin City"/>
    <s v="Seneca"/>
    <x v="1"/>
    <n v="1"/>
    <x v="6"/>
    <n v="2547.7794060000001"/>
    <n v="75159.492477000007"/>
    <n v="3080.5523976803302"/>
    <n v="1.2091126847268072"/>
    <n v="28138.5594881301"/>
    <n v="103298.05196513011"/>
    <n v="682023.62974169722"/>
    <n v="13670.687388722876"/>
    <n v="116968.73935385299"/>
    <n v="45.910073328323691"/>
  </r>
  <r>
    <s v="049759"/>
    <s v="Anna Local"/>
    <s v="Shelby"/>
    <x v="1"/>
    <n v="1"/>
    <x v="7"/>
    <n v="1146.387262"/>
    <n v="33818.424228999997"/>
    <n v="1292.79966670811"/>
    <n v="1.1277163569077673"/>
    <n v="7732.8134571642859"/>
    <n v="41551.237686164284"/>
    <n v="603008.08307122672"/>
    <n v="12086.875933700197"/>
    <n v="53638.113619864482"/>
    <n v="46.788825554714236"/>
  </r>
  <r>
    <s v="049767"/>
    <s v="Botkins Local"/>
    <s v="Shelby"/>
    <x v="1"/>
    <n v="1"/>
    <x v="3"/>
    <n v="599.617569"/>
    <n v="17688.718285499999"/>
    <n v="679.01386475114202"/>
    <n v="1.1324115567253201"/>
    <n v="4193.3382998347724"/>
    <n v="21882.056585334773"/>
    <n v="447125.16150539852"/>
    <n v="8962.3116267797341"/>
    <n v="30844.368212114507"/>
    <n v="51.440067480935511"/>
  </r>
  <r>
    <s v="113522"/>
    <s v="Christian Academy Schools"/>
    <s v="Shelby"/>
    <x v="0"/>
    <n v="1"/>
    <x v="0"/>
    <n v="151"/>
    <n v="4454.5"/>
    <n v="162.06100000000001"/>
    <n v="1.0732516556291392"/>
    <n v="584.18991082219725"/>
    <n v="5038.6899108221969"/>
    <n v="0"/>
    <n v="0"/>
    <n v="5038.6899108221969"/>
    <n v="33.368807356438388"/>
  </r>
  <r>
    <s v="049775"/>
    <s v="Fairlawn Local"/>
    <s v="Shelby"/>
    <x v="1"/>
    <n v="1"/>
    <x v="3"/>
    <n v="573.17104700000004"/>
    <n v="16908.5458865"/>
    <n v="645.25674440210003"/>
    <n v="1.1257664667107652"/>
    <n v="3807.2269358004387"/>
    <n v="20715.772822300438"/>
    <n v="597387.78189355938"/>
    <n v="11974.220921351931"/>
    <n v="32689.993743652369"/>
    <n v="57.033574732626654"/>
  </r>
  <r>
    <s v="049783"/>
    <s v="Fort Loramie Local"/>
    <s v="Shelby"/>
    <x v="1"/>
    <n v="1"/>
    <x v="3"/>
    <n v="717.93083899999999"/>
    <n v="21178.959750499998"/>
    <n v="790.73731535185902"/>
    <n v="1.101411546066569"/>
    <n v="3845.2950842845048"/>
    <n v="25024.254834784504"/>
    <n v="446729.52724079246"/>
    <n v="8954.3814142242773"/>
    <n v="33978.636249008778"/>
    <n v="47.328564818774666"/>
  </r>
  <r>
    <s v="049791"/>
    <s v="Hardin-Houston Local"/>
    <s v="Shelby"/>
    <x v="1"/>
    <n v="1"/>
    <x v="1"/>
    <n v="789.06517099999996"/>
    <n v="23277.422544499997"/>
    <n v="926.34910534181404"/>
    <n v="1.1739830110202825"/>
    <n v="7250.6906573062734"/>
    <n v="30528.113201806271"/>
    <n v="823178.32770502672"/>
    <n v="16500.034738516464"/>
    <n v="47028.147940322735"/>
    <n v="59.59982732569847"/>
  </r>
  <r>
    <s v="054346"/>
    <s v="Holy Angels"/>
    <s v="Shelby"/>
    <x v="0"/>
    <n v="1"/>
    <x v="0"/>
    <n v="183"/>
    <n v="5398.5"/>
    <n v="205.69759999999999"/>
    <n v="1.1240306010928962"/>
    <n v="1198.7803019508083"/>
    <n v="6597.2803019508083"/>
    <n v="0"/>
    <n v="0"/>
    <n v="6597.2803019508083"/>
    <n v="36.050712032518078"/>
  </r>
  <r>
    <s v="049809"/>
    <s v="Jackson Center Local"/>
    <s v="Shelby"/>
    <x v="1"/>
    <n v="1"/>
    <x v="1"/>
    <n v="510.15649200000001"/>
    <n v="15049.616514000001"/>
    <n v="610.04995987619498"/>
    <n v="1.195809461297995"/>
    <n v="5275.9023678070989"/>
    <n v="20325.5188818071"/>
    <n v="328139.02544412081"/>
    <n v="6577.3176196046115"/>
    <n v="26902.836501411712"/>
    <n v="52.734478387097958"/>
  </r>
  <r>
    <s v="053082"/>
    <s v="Lehman High School"/>
    <s v="Shelby"/>
    <x v="0"/>
    <n v="1"/>
    <x v="0"/>
    <n v="163"/>
    <n v="4808.5"/>
    <n v="173.51140000000001"/>
    <n v="1.0644871165644172"/>
    <n v="555.16262802788583"/>
    <n v="5363.6626280278861"/>
    <n v="0"/>
    <n v="0"/>
    <n v="5363.6626280278861"/>
    <n v="32.905905693422611"/>
  </r>
  <r>
    <s v="049817"/>
    <s v="Russia Local"/>
    <s v="Shelby"/>
    <x v="1"/>
    <n v="1"/>
    <x v="3"/>
    <n v="387.41898600000002"/>
    <n v="11428.860087000001"/>
    <n v="427.061035908755"/>
    <n v="1.1023234568807503"/>
    <n v="2093.7063195917772"/>
    <n v="13522.566406591777"/>
    <n v="251176.53556033521"/>
    <n v="5034.6582541843063"/>
    <n v="18557.224660776083"/>
    <n v="47.89962632542764"/>
  </r>
  <r>
    <s v="044784"/>
    <s v="Sidney City"/>
    <s v="Shelby"/>
    <x v="1"/>
    <n v="1"/>
    <x v="6"/>
    <n v="3121.1998680000002"/>
    <n v="92075.396106"/>
    <n v="4038.84105496244"/>
    <n v="1.2940026995292824"/>
    <n v="48465.484420790403"/>
    <n v="140540.8805267904"/>
    <n v="762208.2831388996"/>
    <n v="15277.932771674497"/>
    <n v="155818.8132984649"/>
    <n v="49.922728401981622"/>
  </r>
  <r>
    <s v="043497"/>
    <s v="Alliance City"/>
    <s v="Stark"/>
    <x v="1"/>
    <n v="1"/>
    <x v="9"/>
    <n v="2994.6079850000001"/>
    <n v="88340.935557500008"/>
    <n v="4253.7616593786097"/>
    <n v="1.4204736248235876"/>
    <n v="66502.56511587392"/>
    <n v="154843.50067337393"/>
    <n v="1950680.4593619439"/>
    <n v="39100.027612426151"/>
    <n v="193943.52828580007"/>
    <n v="64.76424602394161"/>
  </r>
  <r>
    <s v="015709"/>
    <s v="Beacon Academy"/>
    <s v="Stark"/>
    <x v="4"/>
    <n v="1"/>
    <x v="8"/>
    <n v="178.33125000000001"/>
    <n v="5260.7718750000004"/>
    <n v="252.33589409356699"/>
    <n v="1.4149841606200089"/>
    <n v="3908.5766597458919"/>
    <n v="9169.3485347458918"/>
    <n v="0"/>
    <n v="0"/>
    <n v="9169.3485347458918"/>
    <n v="51.417508343298728"/>
  </r>
  <r>
    <s v="043711"/>
    <s v="Canton City"/>
    <s v="Stark"/>
    <x v="1"/>
    <n v="1"/>
    <x v="13"/>
    <n v="8402.1879939999999"/>
    <n v="247864.54582299999"/>
    <n v="11762.489617613801"/>
    <n v="1.3999317351639111"/>
    <n v="177475.30113322753"/>
    <n v="425339.84695622756"/>
    <n v="5086528.7178057646"/>
    <n v="101955.91613331564"/>
    <n v="527295.76308954321"/>
    <n v="62.756958481062902"/>
  </r>
  <r>
    <s v="013255"/>
    <s v="Canton College Preparatory School"/>
    <s v="Stark"/>
    <x v="4"/>
    <n v="1"/>
    <x v="8"/>
    <n v="269.49397900000002"/>
    <n v="7950.0723805000007"/>
    <n v="369.82796953032698"/>
    <n v="1.3723051286809156"/>
    <n v="5299.1686990639946"/>
    <n v="13249.241079563995"/>
    <n v="0"/>
    <n v="0"/>
    <n v="13249.241079563995"/>
    <n v="49.163402940308337"/>
  </r>
  <r>
    <s v="060640"/>
    <s v="Canton Country Day School"/>
    <s v="Stark"/>
    <x v="0"/>
    <n v="1"/>
    <x v="0"/>
    <n v="111"/>
    <n v="3274.5"/>
    <n v="111"/>
    <n v="1"/>
    <n v="0"/>
    <n v="3274.5"/>
    <n v="0"/>
    <n v="0"/>
    <n v="3274.5"/>
    <n v="29.5"/>
  </r>
  <r>
    <s v="000525"/>
    <s v="Canton Harbor High School"/>
    <s v="Stark"/>
    <x v="4"/>
    <n v="1"/>
    <x v="8"/>
    <n v="142.48181600000001"/>
    <n v="4203.2135720000006"/>
    <n v="199.17171565715799"/>
    <n v="1.3978746288379562"/>
    <n v="2994.0934296387672"/>
    <n v="7197.3070016387683"/>
    <n v="0"/>
    <n v="0"/>
    <n v="7197.3070016387683"/>
    <n v="50.513863478822927"/>
  </r>
  <r>
    <s v="049833"/>
    <s v="Canton Local"/>
    <s v="Stark"/>
    <x v="1"/>
    <n v="1"/>
    <x v="6"/>
    <n v="1920.419492"/>
    <n v="56652.375013999997"/>
    <n v="2503.00229476712"/>
    <n v="1.3033622628774693"/>
    <n v="30769.279052081125"/>
    <n v="87421.65406608113"/>
    <n v="1017320.1616405913"/>
    <n v="20391.472226997063"/>
    <n v="107813.1262930782"/>
    <n v="56.140404084733269"/>
  </r>
  <r>
    <s v="096974"/>
    <s v="Canton Montessori"/>
    <s v="Stark"/>
    <x v="0"/>
    <n v="1"/>
    <x v="0"/>
    <n v="8"/>
    <n v="236"/>
    <n v="8.7374000000000009"/>
    <n v="1.0921750000000001"/>
    <n v="38.945994054813177"/>
    <n v="274.94599405481318"/>
    <n v="0"/>
    <n v="0"/>
    <n v="274.94599405481318"/>
    <n v="34.368249256851648"/>
  </r>
  <r>
    <s v="017029"/>
    <s v="Canton Montessori Association"/>
    <s v="Stark"/>
    <x v="0"/>
    <n v="1"/>
    <x v="0"/>
    <n v="36"/>
    <n v="1062"/>
    <n v="40.424399999999999"/>
    <n v="1.1229"/>
    <n v="233.67596432887865"/>
    <n v="1295.6759643288788"/>
    <n v="0"/>
    <n v="0"/>
    <n v="1295.6759643288788"/>
    <n v="35.990999009135521"/>
  </r>
  <r>
    <s v="052845"/>
    <s v="Central Catholic"/>
    <s v="Stark"/>
    <x v="0"/>
    <n v="1"/>
    <x v="0"/>
    <n v="319"/>
    <n v="9410.5"/>
    <n v="327.84879999999998"/>
    <n v="1.027739184952978"/>
    <n v="467.35192865775656"/>
    <n v="9877.8519286577557"/>
    <n v="0"/>
    <n v="0"/>
    <n v="9877.8519286577557"/>
    <n v="30.965053067892651"/>
  </r>
  <r>
    <s v="015713"/>
    <s v="East Branch Preparatory AcademydbaWright Preparatory Academy"/>
    <s v="Stark"/>
    <x v="4"/>
    <n v="1"/>
    <x v="8"/>
    <n v="135.94736800000001"/>
    <n v="4010.4473560000001"/>
    <n v="187.17292383808601"/>
    <n v="1.3768043220821016"/>
    <n v="2705.4925320376929"/>
    <n v="6715.939888037693"/>
    <n v="0"/>
    <n v="0"/>
    <n v="6715.939888037693"/>
    <n v="49.401029139730696"/>
  </r>
  <r>
    <s v="049841"/>
    <s v="Fairless Local"/>
    <s v="Stark"/>
    <x v="1"/>
    <n v="1"/>
    <x v="1"/>
    <n v="1462.3716850000001"/>
    <n v="43139.964707500003"/>
    <n v="1795.0243849818901"/>
    <n v="1.2274747954942042"/>
    <n v="17569.148461909714"/>
    <n v="60709.113169409713"/>
    <n v="1074943.5505949291"/>
    <n v="21546.492819130923"/>
    <n v="82255.605988540628"/>
    <n v="56.248084418114694"/>
  </r>
  <r>
    <s v="065003"/>
    <s v="Heritage Christian"/>
    <s v="Stark"/>
    <x v="0"/>
    <n v="1"/>
    <x v="0"/>
    <n v="187"/>
    <n v="5516.5"/>
    <n v="211.4238"/>
    <n v="1.1306085561497325"/>
    <n v="1289.9500536966975"/>
    <n v="6806.4500536966971"/>
    <n v="0"/>
    <n v="0"/>
    <n v="6806.4500536966971"/>
    <n v="36.398128629394101"/>
  </r>
  <r>
    <s v="133041"/>
    <s v="Holy Cross Prek And Kdg"/>
    <s v="Stark"/>
    <x v="0"/>
    <n v="1"/>
    <x v="0"/>
    <n v="6"/>
    <n v="177"/>
    <n v="6"/>
    <n v="1"/>
    <n v="0"/>
    <n v="177"/>
    <n v="0"/>
    <n v="0"/>
    <n v="177"/>
    <n v="29.5"/>
  </r>
  <r>
    <s v="049858"/>
    <s v="Jackson Local"/>
    <s v="Stark"/>
    <x v="1"/>
    <n v="1"/>
    <x v="10"/>
    <n v="5830.4334660000004"/>
    <n v="171997.787247"/>
    <n v="6795.5145264989096"/>
    <n v="1.1655247531983257"/>
    <n v="50971.03504828216"/>
    <n v="222968.82229528215"/>
    <n v="3372661.5607070415"/>
    <n v="67602.645793739008"/>
    <n v="290571.46808902116"/>
    <n v="49.837026660792894"/>
  </r>
  <r>
    <s v="064915"/>
    <s v="Lake Center Christian School"/>
    <s v="Stark"/>
    <x v="0"/>
    <n v="1"/>
    <x v="0"/>
    <n v="643"/>
    <n v="18968.5"/>
    <n v="708.83019999999999"/>
    <n v="1.1023797822706065"/>
    <n v="3476.841033126062"/>
    <n v="22445.34103312606"/>
    <n v="0"/>
    <n v="0"/>
    <n v="22445.34103312606"/>
    <n v="34.907217780911445"/>
  </r>
  <r>
    <s v="049866"/>
    <s v="Lake Local"/>
    <s v="Stark"/>
    <x v="1"/>
    <n v="1"/>
    <x v="7"/>
    <n v="3337.2191069999999"/>
    <n v="98447.963656499996"/>
    <n v="3790.8790494681398"/>
    <n v="1.1359395136856802"/>
    <n v="23960.180936087658"/>
    <n v="122408.14459258766"/>
    <n v="2111493.1748839132"/>
    <n v="42323.406196633077"/>
    <n v="164731.55078922072"/>
    <n v="49.361922459237775"/>
  </r>
  <r>
    <s v="049874"/>
    <s v="Louisville City"/>
    <s v="Stark"/>
    <x v="1"/>
    <n v="1"/>
    <x v="7"/>
    <n v="2785.6420579999999"/>
    <n v="82176.440711000003"/>
    <n v="3273.7831435635399"/>
    <n v="1.1752346767459454"/>
    <n v="25781.312471206467"/>
    <n v="107957.75318220648"/>
    <n v="1526619.4877820208"/>
    <n v="30600.021566561143"/>
    <n v="138557.77474876761"/>
    <n v="49.739978024401161"/>
  </r>
  <r>
    <s v="049882"/>
    <s v="Marlington Local"/>
    <s v="Stark"/>
    <x v="1"/>
    <n v="1"/>
    <x v="7"/>
    <n v="2083.688666"/>
    <n v="61468.815647000003"/>
    <n v="2442.5156374504199"/>
    <n v="1.1722075746273795"/>
    <n v="18951.550171975388"/>
    <n v="80420.365818975391"/>
    <n v="1827309.4685945595"/>
    <n v="36627.142254690552"/>
    <n v="117047.50807366594"/>
    <n v="56.173222988422182"/>
  </r>
  <r>
    <s v="084335"/>
    <s v="Massillon Christian"/>
    <s v="Stark"/>
    <x v="0"/>
    <n v="1"/>
    <x v="0"/>
    <n v="64"/>
    <n v="1888"/>
    <n v="64"/>
    <n v="1"/>
    <n v="0"/>
    <n v="1888"/>
    <n v="0"/>
    <n v="0"/>
    <n v="1888"/>
    <n v="29.5"/>
  </r>
  <r>
    <s v="044354"/>
    <s v="Massillon City"/>
    <s v="Stark"/>
    <x v="1"/>
    <n v="1"/>
    <x v="9"/>
    <n v="3937.243058"/>
    <n v="116148.670211"/>
    <n v="5429.0114535899102"/>
    <n v="1.3788865390361964"/>
    <n v="78788.17882533597"/>
    <n v="194936.84903633597"/>
    <n v="2217233.0716896178"/>
    <n v="44442.888588018955"/>
    <n v="239379.73762435492"/>
    <n v="60.798821433684253"/>
  </r>
  <r>
    <s v="133165"/>
    <s v="Minerva Area Christian"/>
    <s v="Stark"/>
    <x v="0"/>
    <n v="1"/>
    <x v="0"/>
    <n v="18"/>
    <n v="531"/>
    <n v="18"/>
    <n v="1"/>
    <n v="0"/>
    <n v="531"/>
    <n v="0"/>
    <n v="0"/>
    <n v="531"/>
    <n v="29.5"/>
  </r>
  <r>
    <s v="049890"/>
    <s v="Minerva Local"/>
    <s v="Stark"/>
    <x v="1"/>
    <n v="1"/>
    <x v="1"/>
    <n v="1829.6015620000001"/>
    <n v="53973.246079000004"/>
    <n v="2350.0791416325501"/>
    <n v="1.2844759156543342"/>
    <n v="27489.173748349356"/>
    <n v="81462.419827349368"/>
    <n v="1387351.3955649263"/>
    <n v="27808.489911499881"/>
    <n v="109270.90973884925"/>
    <n v="59.723883061950104"/>
  </r>
  <r>
    <s v="044503"/>
    <s v="North Canton City"/>
    <s v="Stark"/>
    <x v="1"/>
    <n v="1"/>
    <x v="10"/>
    <n v="4247.939249"/>
    <n v="125314.2078455"/>
    <n v="5036.7807971593602"/>
    <n v="1.1856998186461964"/>
    <n v="41662.89428370494"/>
    <n v="166977.10212920496"/>
    <n v="2115899.0294987322"/>
    <n v="42411.718475699083"/>
    <n v="209388.82060490403"/>
    <n v="49.291858553343459"/>
  </r>
  <r>
    <s v="049908"/>
    <s v="Northwest Local"/>
    <s v="Stark"/>
    <x v="1"/>
    <n v="1"/>
    <x v="7"/>
    <n v="1792.829765"/>
    <n v="52888.4780675"/>
    <n v="2044.9941842349101"/>
    <n v="1.1406516246872498"/>
    <n v="13318.136659015752"/>
    <n v="66206.614726515749"/>
    <n v="1200588.1938662184"/>
    <n v="24064.951953574582"/>
    <n v="90271.566680090327"/>
    <n v="50.351443534902671"/>
  </r>
  <r>
    <s v="049916"/>
    <s v="Osnaburg Local"/>
    <s v="Stark"/>
    <x v="1"/>
    <n v="1"/>
    <x v="1"/>
    <n v="843.159629"/>
    <n v="24873.2090555"/>
    <n v="1052.69051770028"/>
    <n v="1.2485067850660578"/>
    <n v="11066.434425848678"/>
    <n v="35939.643481348678"/>
    <n v="335939.33130470489"/>
    <n v="6733.6693034852033"/>
    <n v="42673.312784833877"/>
    <n v="50.611190713014885"/>
  </r>
  <r>
    <s v="059733"/>
    <s v="Our Lady Of Peace"/>
    <s v="Stark"/>
    <x v="0"/>
    <n v="1"/>
    <x v="0"/>
    <n v="222"/>
    <n v="6549"/>
    <n v="260.13240000000002"/>
    <n v="1.1717675675675676"/>
    <n v="2013.973723482176"/>
    <n v="8562.9737234821769"/>
    <n v="0"/>
    <n v="0"/>
    <n v="8562.9737234821769"/>
    <n v="38.571953709379173"/>
  </r>
  <r>
    <s v="049924"/>
    <s v="Perry Local"/>
    <s v="Stark"/>
    <x v="1"/>
    <n v="1"/>
    <x v="6"/>
    <n v="4601.3326770000003"/>
    <n v="135739.3139715"/>
    <n v="5420.8660002741899"/>
    <n v="1.1781078180612041"/>
    <n v="43283.889254078967"/>
    <n v="179023.20322557897"/>
    <n v="2802106.7695846134"/>
    <n v="56166.27343443111"/>
    <n v="235189.47666001008"/>
    <n v="51.113338932352548"/>
  </r>
  <r>
    <s v="049932"/>
    <s v="Plain Local"/>
    <s v="Stark"/>
    <x v="1"/>
    <n v="1"/>
    <x v="10"/>
    <n v="6061.3619509999999"/>
    <n v="178810.1775545"/>
    <n v="7346.9710463865604"/>
    <n v="1.2120990473394286"/>
    <n v="67899.815820095828"/>
    <n v="246709.99337459583"/>
    <n v="3809939.99809448"/>
    <n v="76367.586711719967"/>
    <n v="323077.58008631581"/>
    <n v="53.301152892381666"/>
  </r>
  <r>
    <s v="059535"/>
    <s v="Regina Coeli"/>
    <s v="Stark"/>
    <x v="0"/>
    <n v="1"/>
    <x v="0"/>
    <n v="103"/>
    <n v="3038.5"/>
    <n v="115.1618"/>
    <n v="1.1180757281553397"/>
    <n v="642.32898087310309"/>
    <n v="3680.8289808731033"/>
    <n v="0"/>
    <n v="0"/>
    <n v="3680.8289808731033"/>
    <n v="35.736203697797123"/>
  </r>
  <r>
    <s v="049940"/>
    <s v="Sandy Valley Local"/>
    <s v="Stark"/>
    <x v="1"/>
    <n v="1"/>
    <x v="1"/>
    <n v="1304.5198660000001"/>
    <n v="38483.336047000004"/>
    <n v="1604.9951721462801"/>
    <n v="1.2303340209510309"/>
    <n v="15869.690109562209"/>
    <n v="54353.026156562213"/>
    <n v="1072931.107187924"/>
    <n v="21506.154796363175"/>
    <n v="75859.180952925381"/>
    <n v="58.151035434615125"/>
  </r>
  <r>
    <s v="059865"/>
    <s v="St Barbara"/>
    <s v="Stark"/>
    <x v="0"/>
    <n v="1"/>
    <x v="0"/>
    <n v="63"/>
    <n v="1858.5"/>
    <n v="73.673999999999992"/>
    <n v="1.1694285714285713"/>
    <n v="563.75039400742469"/>
    <n v="2422.2503940074248"/>
    <n v="0"/>
    <n v="0"/>
    <n v="2422.2503940074248"/>
    <n v="38.448418952498805"/>
  </r>
  <r>
    <s v="060095"/>
    <s v="St James"/>
    <s v="Stark"/>
    <x v="0"/>
    <n v="1"/>
    <x v="0"/>
    <n v="61"/>
    <n v="1799.5"/>
    <n v="74.823599999999999"/>
    <n v="1.2266163934426229"/>
    <n v="730.09742801208927"/>
    <n v="2529.597428012089"/>
    <n v="0"/>
    <n v="0"/>
    <n v="2529.597428012089"/>
    <n v="41.46881029528015"/>
  </r>
  <r>
    <s v="059667"/>
    <s v="St Joan Of Arc"/>
    <s v="Stark"/>
    <x v="0"/>
    <n v="1"/>
    <x v="0"/>
    <n v="185"/>
    <n v="5457.5"/>
    <n v="204.7578"/>
    <n v="1.1067989189189189"/>
    <n v="1043.5139155630416"/>
    <n v="6501.0139155630413"/>
    <n v="0"/>
    <n v="0"/>
    <n v="6501.0139155630413"/>
    <n v="35.140615759800227"/>
  </r>
  <r>
    <s v="059881"/>
    <s v="St Mary"/>
    <s v="Stark"/>
    <x v="0"/>
    <n v="1"/>
    <x v="0"/>
    <n v="177"/>
    <n v="5221.5"/>
    <n v="200.06380000000001"/>
    <n v="1.13030395480226"/>
    <n v="1218.1212607558984"/>
    <n v="6439.6212607558982"/>
    <n v="0"/>
    <n v="0"/>
    <n v="6439.6212607558982"/>
    <n v="36.382041021219763"/>
  </r>
  <r>
    <s v="059691"/>
    <s v="St Michael"/>
    <s v="Stark"/>
    <x v="0"/>
    <n v="1"/>
    <x v="0"/>
    <n v="344"/>
    <n v="10148"/>
    <n v="382.39879999999994"/>
    <n v="1.1116244186046509"/>
    <n v="2028.0437164523403"/>
    <n v="12176.043716452341"/>
    <n v="0"/>
    <n v="0"/>
    <n v="12176.043716452341"/>
    <n v="35.395475919919598"/>
  </r>
  <r>
    <s v="059956"/>
    <s v="St Paul"/>
    <s v="Stark"/>
    <x v="0"/>
    <n v="1"/>
    <x v="0"/>
    <n v="329"/>
    <n v="9705.5"/>
    <n v="347.06020000000001"/>
    <n v="1.0548942249240121"/>
    <n v="953.85468108046689"/>
    <n v="10659.354681080467"/>
    <n v="0"/>
    <n v="0"/>
    <n v="10659.354681080467"/>
    <n v="32.399254349788656"/>
  </r>
  <r>
    <s v="059717"/>
    <s v="St Peter"/>
    <s v="Stark"/>
    <x v="0"/>
    <n v="1"/>
    <x v="0"/>
    <n v="139"/>
    <n v="4100.5"/>
    <n v="174.8664"/>
    <n v="1.2580316546762589"/>
    <n v="1894.2942787734598"/>
    <n v="5994.7942787734601"/>
    <n v="0"/>
    <n v="0"/>
    <n v="5994.7942787734601"/>
    <n v="43.128016394053667"/>
  </r>
  <r>
    <s v="053827"/>
    <s v="St Thomas Aquinas"/>
    <s v="Stark"/>
    <x v="0"/>
    <n v="1"/>
    <x v="0"/>
    <n v="322"/>
    <n v="9499"/>
    <n v="361.94639999999998"/>
    <n v="1.1240571428571429"/>
    <n v="2109.7806575958589"/>
    <n v="11608.780657595858"/>
    <n v="0"/>
    <n v="0"/>
    <n v="11608.780657595858"/>
    <n v="36.052113843465399"/>
  </r>
  <r>
    <s v="062026"/>
    <s v="Stark County Area"/>
    <s v="Stark"/>
    <x v="3"/>
    <n v="1"/>
    <x v="4"/>
    <n v="601.218975"/>
    <n v="17735.959762499999"/>
    <n v="804.60368197994603"/>
    <n v="1.3382872388216722"/>
    <n v="10741.822062491032"/>
    <n v="28477.781824991031"/>
    <n v="0"/>
    <n v="0"/>
    <n v="28477.781824991031"/>
    <n v="47.366738258703549"/>
  </r>
  <r>
    <n v="66324"/>
    <s v="Stark County Board of DD"/>
    <s v="Stark"/>
    <x v="2"/>
    <n v="1"/>
    <x v="2"/>
    <n v="113.7"/>
    <n v="3354.15"/>
    <n v="533.89132500000005"/>
    <n v="4.6956141160949869"/>
    <n v="22192.526234518646"/>
    <n v="25546.676234518647"/>
    <n v="0"/>
    <n v="0"/>
    <n v="25546.676234518647"/>
    <n v="224.68492730447358"/>
  </r>
  <r>
    <s v="142901"/>
    <s v="Stark High School"/>
    <s v="Stark"/>
    <x v="4"/>
    <n v="1"/>
    <x v="8"/>
    <n v="123.083324"/>
    <n v="3630.9580580000002"/>
    <n v="170.06393585935999"/>
    <n v="1.3816976202183164"/>
    <n v="2481.2945893221004"/>
    <n v="6112.2526473221005"/>
    <n v="0"/>
    <n v="0"/>
    <n v="6112.2526473221005"/>
    <n v="49.659470094601119"/>
  </r>
  <r>
    <s v="059634"/>
    <s v="Sts Philip And James"/>
    <s v="Stark"/>
    <x v="0"/>
    <n v="1"/>
    <x v="0"/>
    <n v="100"/>
    <n v="2950"/>
    <n v="107.56180000000001"/>
    <n v="1.075618"/>
    <n v="399.37865180863309"/>
    <n v="3349.3786518086331"/>
    <n v="0"/>
    <n v="0"/>
    <n v="3349.3786518086331"/>
    <n v="33.493786518086331"/>
  </r>
  <r>
    <s v="133306"/>
    <s v="Summit Academy Community School for Alternative Learn-Canton"/>
    <s v="Stark"/>
    <x v="4"/>
    <n v="1"/>
    <x v="8"/>
    <n v="142.777602"/>
    <n v="4211.9392589999998"/>
    <n v="304.98796442492102"/>
    <n v="2.1361051043911008"/>
    <n v="8567.1871584351175"/>
    <n v="12779.126417435116"/>
    <n v="0"/>
    <n v="0"/>
    <n v="12779.126417435116"/>
    <n v="89.503719339922213"/>
  </r>
  <r>
    <s v="000300"/>
    <s v="Summit Academy Secondary - Canton"/>
    <s v="Stark"/>
    <x v="4"/>
    <n v="1"/>
    <x v="8"/>
    <n v="105.760735"/>
    <n v="3119.9416824999998"/>
    <n v="270.81245634820999"/>
    <n v="2.5606143560576617"/>
    <n v="8717.2543509141015"/>
    <n v="11837.1960334141"/>
    <n v="0"/>
    <n v="0"/>
    <n v="11837.1960334141"/>
    <n v="111.92429811890113"/>
  </r>
  <r>
    <s v="015489"/>
    <s v="The Golden Key Center for Exceptional Children"/>
    <s v="Stark"/>
    <x v="0"/>
    <n v="1"/>
    <x v="0"/>
    <n v="62"/>
    <n v="1829"/>
    <n v="62"/>
    <n v="1"/>
    <n v="0"/>
    <n v="1829"/>
    <n v="0"/>
    <n v="0"/>
    <n v="1829"/>
    <n v="29.5"/>
  </r>
  <r>
    <s v="049957"/>
    <s v="Tuslaw Local"/>
    <s v="Stark"/>
    <x v="1"/>
    <n v="1"/>
    <x v="3"/>
    <n v="1309.17651"/>
    <n v="38620.707045000003"/>
    <n v="1516.3275615468101"/>
    <n v="1.1582300400018712"/>
    <n v="10940.742638988815"/>
    <n v="49561.449683988816"/>
    <n v="820638.72183254757"/>
    <n v="16449.130112255381"/>
    <n v="66010.579796244201"/>
    <n v="50.421451417765049"/>
  </r>
  <r>
    <s v="119990"/>
    <s v="Weaver Child Development Center, Inc"/>
    <s v="Stark"/>
    <x v="0"/>
    <n v="1"/>
    <x v="0"/>
    <n v="64"/>
    <n v="1888"/>
    <n v="64"/>
    <n v="1"/>
    <n v="0"/>
    <n v="1888"/>
    <n v="0"/>
    <n v="0"/>
    <n v="1888"/>
    <n v="29.5"/>
  </r>
  <r>
    <s v="043489"/>
    <s v="Akron City"/>
    <s v="Summit"/>
    <x v="1"/>
    <n v="1"/>
    <x v="13"/>
    <n v="21180.549867999998"/>
    <n v="624826.2211059999"/>
    <n v="30931.280382232599"/>
    <n v="1.4603624823246066"/>
    <n v="514987.64935908292"/>
    <n v="1139813.8704650828"/>
    <n v="6180829.3591367817"/>
    <n v="123890.40831884451"/>
    <n v="1263704.2787839272"/>
    <n v="59.663431150725557"/>
  </r>
  <r>
    <s v="126151"/>
    <s v="Akron Montessori"/>
    <s v="Summit"/>
    <x v="0"/>
    <n v="1"/>
    <x v="0"/>
    <n v="12"/>
    <n v="354"/>
    <n v="12"/>
    <n v="1"/>
    <n v="0"/>
    <n v="354"/>
    <n v="0"/>
    <n v="0"/>
    <n v="354"/>
    <n v="29.5"/>
  </r>
  <r>
    <s v="013254"/>
    <s v="Akron Preparatory School"/>
    <s v="Summit"/>
    <x v="4"/>
    <n v="1"/>
    <x v="8"/>
    <n v="218.09090599999999"/>
    <n v="6433.6817270000001"/>
    <n v="302.22059554253798"/>
    <n v="1.3857551471794884"/>
    <n v="4443.3338605328972"/>
    <n v="10877.015587532896"/>
    <n v="0"/>
    <n v="0"/>
    <n v="10877.015587532896"/>
    <n v="49.873769553384754"/>
  </r>
  <r>
    <s v="012060"/>
    <s v="Akros Middle School"/>
    <s v="Summit"/>
    <x v="4"/>
    <n v="1"/>
    <x v="8"/>
    <n v="121.51149599999999"/>
    <n v="3584.5891319999996"/>
    <n v="176.54955305906799"/>
    <n v="1.4529452674919581"/>
    <n v="2906.8508855586215"/>
    <n v="6491.4400175586215"/>
    <n v="0"/>
    <n v="0"/>
    <n v="6491.4400175586215"/>
    <n v="53.422435170731681"/>
  </r>
  <r>
    <s v="143396"/>
    <s v="Alternative Education Academy"/>
    <s v="Summit"/>
    <x v="4"/>
    <n v="1"/>
    <x v="5"/>
    <n v="1939.906804"/>
    <n v="11445.450143599999"/>
    <n v="2536.1471705846702"/>
    <n v="1.3073551602351461"/>
    <n v="0"/>
    <n v="11445.450143599999"/>
    <n v="0"/>
    <n v="0"/>
    <n v="11445.450143599999"/>
    <n v="5.8999999999999995"/>
  </r>
  <r>
    <s v="052639"/>
    <s v="Archbishop Hoban"/>
    <s v="Summit"/>
    <x v="0"/>
    <n v="1"/>
    <x v="0"/>
    <n v="797"/>
    <n v="23511.5"/>
    <n v="826.56020000000001"/>
    <n v="1.0370893350062735"/>
    <n v="1561.2305037416425"/>
    <n v="25072.730503741641"/>
    <n v="0"/>
    <n v="0"/>
    <n v="25072.730503741641"/>
    <n v="31.458883944468809"/>
  </r>
  <r>
    <s v="113050"/>
    <s v="Arlington Christian Academy"/>
    <s v="Summit"/>
    <x v="0"/>
    <n v="1"/>
    <x v="0"/>
    <n v="100"/>
    <n v="2950"/>
    <n v="110.31219999999999"/>
    <n v="1.1031219999999999"/>
    <n v="544.64182247361475"/>
    <n v="3494.6418224736149"/>
    <n v="0"/>
    <n v="0"/>
    <n v="3494.6418224736149"/>
    <n v="34.946418224736149"/>
  </r>
  <r>
    <s v="043539"/>
    <s v="Barberton City"/>
    <s v="Summit"/>
    <x v="1"/>
    <n v="1"/>
    <x v="9"/>
    <n v="3785.603697"/>
    <n v="111675.3090615"/>
    <n v="5067.2770410022204"/>
    <n v="1.338565113146396"/>
    <n v="67691.947973586823"/>
    <n v="179367.2570350868"/>
    <n v="1424183.9956698339"/>
    <n v="28546.773659731203"/>
    <n v="207914.03069481801"/>
    <n v="54.922291749552357"/>
  </r>
  <r>
    <s v="071571"/>
    <s v="Chapel Hill Christian Green Campus"/>
    <s v="Summit"/>
    <x v="0"/>
    <n v="1"/>
    <x v="0"/>
    <n v="190"/>
    <n v="5605"/>
    <n v="190"/>
    <n v="1"/>
    <n v="0"/>
    <n v="5605"/>
    <n v="0"/>
    <n v="0"/>
    <n v="5605"/>
    <n v="29.5"/>
  </r>
  <r>
    <s v="060657"/>
    <s v="Chapel Hill Christian North"/>
    <s v="Summit"/>
    <x v="0"/>
    <n v="1"/>
    <x v="0"/>
    <n v="212"/>
    <n v="6254"/>
    <n v="212"/>
    <n v="1"/>
    <n v="0"/>
    <n v="6254"/>
    <n v="0"/>
    <n v="0"/>
    <n v="6254"/>
    <n v="29.5"/>
  </r>
  <r>
    <s v="049981"/>
    <s v="Copley-Fairlawn City"/>
    <s v="Summit"/>
    <x v="1"/>
    <n v="1"/>
    <x v="11"/>
    <n v="2795.6016020000002"/>
    <n v="82470.247259000011"/>
    <n v="3258.59908496758"/>
    <n v="1.1656164035091219"/>
    <n v="24453.345835433687"/>
    <n v="106923.5930944337"/>
    <n v="1957796.0852154209"/>
    <n v="39242.655363688726"/>
    <n v="146166.24845812243"/>
    <n v="52.284362819635561"/>
  </r>
  <r>
    <s v="134460"/>
    <s v="Cornerstone Community"/>
    <s v="Summit"/>
    <x v="0"/>
    <n v="1"/>
    <x v="0"/>
    <n v="110"/>
    <n v="3245"/>
    <n v="118.8488"/>
    <n v="1.0804436363636363"/>
    <n v="467.3519286577573"/>
    <n v="3712.3519286577575"/>
    <n v="0"/>
    <n v="0"/>
    <n v="3712.3519286577575"/>
    <n v="33.748653896888705"/>
  </r>
  <r>
    <s v="049999"/>
    <s v="Coventry Local"/>
    <s v="Summit"/>
    <x v="1"/>
    <n v="1"/>
    <x v="7"/>
    <n v="1831.479828"/>
    <n v="54028.654926000003"/>
    <n v="2292.19536536738"/>
    <n v="1.2515537055466712"/>
    <n v="24332.824219243306"/>
    <n v="78361.479145243313"/>
    <n v="1124587.6900638482"/>
    <n v="22541.57492738395"/>
    <n v="100903.05407262726"/>
    <n v="55.093729414871426"/>
  </r>
  <r>
    <s v="043836"/>
    <s v="Cuyahoga Falls City"/>
    <s v="Summit"/>
    <x v="1"/>
    <n v="1"/>
    <x v="10"/>
    <n v="4489.7985090000002"/>
    <n v="132449.05601550001"/>
    <n v="5630.3614539220698"/>
    <n v="1.2540343275173174"/>
    <n v="60239.161475556095"/>
    <n v="192688.2174910561"/>
    <n v="587076.62283333309"/>
    <n v="11767.54093845876"/>
    <n v="204455.75842951486"/>
    <n v="45.537847192847124"/>
  </r>
  <r>
    <s v="067611"/>
    <s v="Cuyahoga Valley Christian Acad"/>
    <s v="Summit"/>
    <x v="0"/>
    <n v="1"/>
    <x v="0"/>
    <n v="850"/>
    <n v="25075"/>
    <n v="850"/>
    <n v="1"/>
    <n v="0"/>
    <n v="25075"/>
    <n v="0"/>
    <n v="0"/>
    <n v="25075"/>
    <n v="29.5"/>
  </r>
  <r>
    <s v="133538"/>
    <s v="Edge Academy, The"/>
    <s v="Summit"/>
    <x v="4"/>
    <n v="1"/>
    <x v="8"/>
    <n v="239.06358399999999"/>
    <n v="7052.375728"/>
    <n v="329.282681339465"/>
    <n v="1.3773853626299897"/>
    <n v="4764.9476927222813"/>
    <n v="11817.323420722281"/>
    <n v="0"/>
    <n v="0"/>
    <n v="11817.323420722281"/>
    <n v="49.43171696414575"/>
  </r>
  <r>
    <s v="120865"/>
    <s v="Emmanuel Christian Academy"/>
    <s v="Summit"/>
    <x v="0"/>
    <n v="1"/>
    <x v="0"/>
    <n v="190"/>
    <n v="5605"/>
    <n v="214.3862"/>
    <n v="1.1283484210526316"/>
    <n v="1287.9641988330402"/>
    <n v="6892.9641988330404"/>
    <n v="0"/>
    <n v="0"/>
    <n v="6892.9641988330404"/>
    <n v="36.278758941226528"/>
  </r>
  <r>
    <s v="143248"/>
    <s v="Faith Islamic Academy"/>
    <s v="Summit"/>
    <x v="0"/>
    <n v="1"/>
    <x v="0"/>
    <n v="132"/>
    <n v="3894"/>
    <n v="132"/>
    <n v="1"/>
    <n v="0"/>
    <n v="3894"/>
    <n v="0"/>
    <n v="0"/>
    <n v="3894"/>
    <n v="29.5"/>
  </r>
  <r>
    <s v="011381"/>
    <s v="Greater Summit County Early Learning Center"/>
    <s v="Summit"/>
    <x v="4"/>
    <n v="1"/>
    <x v="8"/>
    <n v="139.04562300000001"/>
    <n v="4101.8458785000003"/>
    <n v="159.53539526971599"/>
    <n v="1.1473600666287496"/>
    <n v="1082.173242474686"/>
    <n v="5184.0191209746863"/>
    <n v="0"/>
    <n v="0"/>
    <n v="5184.0191209746863"/>
    <n v="37.282864495308033"/>
  </r>
  <r>
    <s v="050013"/>
    <s v="Green Local"/>
    <s v="Summit"/>
    <x v="1"/>
    <n v="1"/>
    <x v="10"/>
    <n v="3999.5753070000001"/>
    <n v="117987.47155650001"/>
    <n v="4720.6659061355704"/>
    <n v="1.1802917919493923"/>
    <n v="38084.608335931043"/>
    <n v="156072.07989243104"/>
    <n v="2957412.22497231"/>
    <n v="59279.262835066016"/>
    <n v="215351.34272749705"/>
    <n v="53.84355242682696"/>
  </r>
  <r>
    <s v="057513"/>
    <s v="Holy Family"/>
    <s v="Summit"/>
    <x v="0"/>
    <n v="1"/>
    <x v="0"/>
    <n v="311"/>
    <n v="9174.5"/>
    <n v="319.63659999999999"/>
    <n v="1.0277704180064309"/>
    <n v="456.14452434743498"/>
    <n v="9630.6445243474354"/>
    <n v="0"/>
    <n v="0"/>
    <n v="9630.6445243474354"/>
    <n v="30.96670265063484"/>
  </r>
  <r>
    <s v="050021"/>
    <s v="Hudson City"/>
    <s v="Summit"/>
    <x v="1"/>
    <n v="1"/>
    <x v="11"/>
    <n v="4575.0506519999999"/>
    <n v="134963.99423399998"/>
    <n v="5522.4558849873802"/>
    <n v="1.2070808183453048"/>
    <n v="50037.481111235895"/>
    <n v="185001.47534523587"/>
    <n v="2912252.4515076294"/>
    <n v="58374.066711853964"/>
    <n v="243375.54205708983"/>
    <n v="53.196250832916427"/>
  </r>
  <r>
    <s v="070979"/>
    <s v="Hudson Montessori"/>
    <s v="Summit"/>
    <x v="0"/>
    <n v="1"/>
    <x v="0"/>
    <n v="130"/>
    <n v="3835"/>
    <n v="130"/>
    <n v="1"/>
    <n v="0"/>
    <n v="3835"/>
    <n v="0"/>
    <n v="0"/>
    <n v="3835"/>
    <n v="29.5"/>
  </r>
  <r>
    <s v="011947"/>
    <s v="Imagine Akron Academy"/>
    <s v="Summit"/>
    <x v="4"/>
    <n v="1"/>
    <x v="8"/>
    <n v="49.644972000000003"/>
    <n v="1464.5266740000002"/>
    <n v="62.5370209845792"/>
    <n v="1.2596848878186335"/>
    <n v="680.89729198234465"/>
    <n v="2145.4239659823447"/>
    <n v="0"/>
    <n v="0"/>
    <n v="2145.4239659823447"/>
    <n v="43.215332380131962"/>
  </r>
  <r>
    <s v="014121"/>
    <s v="Imagine Leadership Academy"/>
    <s v="Summit"/>
    <x v="4"/>
    <n v="1"/>
    <x v="8"/>
    <n v="168.95321200000001"/>
    <n v="4984.1197540000003"/>
    <n v="223.85111384056401"/>
    <n v="1.324929613297698"/>
    <n v="2899.4485471986982"/>
    <n v="7883.5683011986985"/>
    <n v="0"/>
    <n v="0"/>
    <n v="7883.5683011986985"/>
    <n v="46.661251407275394"/>
  </r>
  <r>
    <s v="057232"/>
    <s v="Immaculate Heart Of Mary"/>
    <s v="Summit"/>
    <x v="0"/>
    <n v="1"/>
    <x v="0"/>
    <n v="265"/>
    <n v="7817.5"/>
    <n v="279.01060000000001"/>
    <n v="1.0528701886792453"/>
    <n v="739.97388704144987"/>
    <n v="8557.4738870414494"/>
    <n v="0"/>
    <n v="0"/>
    <n v="8557.4738870414494"/>
    <n v="32.29235429072245"/>
  </r>
  <r>
    <s v="016974"/>
    <s v="Julie Billiart School of St Sebastian Parish"/>
    <s v="Summit"/>
    <x v="0"/>
    <n v="1"/>
    <x v="0"/>
    <n v="83"/>
    <n v="2448.5"/>
    <n v="141.25460000000001"/>
    <n v="1.7018626506024097"/>
    <n v="3076.733530330237"/>
    <n v="5525.233530330237"/>
    <n v="0"/>
    <n v="0"/>
    <n v="5525.233530330237"/>
    <n v="66.569078678677556"/>
  </r>
  <r>
    <s v="119339"/>
    <s v="Kids Country School"/>
    <s v="Summit"/>
    <x v="0"/>
    <n v="1"/>
    <x v="0"/>
    <n v="12"/>
    <n v="354"/>
    <n v="12"/>
    <n v="1"/>
    <n v="0"/>
    <n v="354"/>
    <n v="0"/>
    <n v="0"/>
    <n v="354"/>
    <n v="29.5"/>
  </r>
  <r>
    <s v="132837"/>
    <s v="Kids Country-Green Campus"/>
    <s v="Summit"/>
    <x v="0"/>
    <n v="1"/>
    <x v="0"/>
    <n v="12"/>
    <n v="354"/>
    <n v="12"/>
    <n v="1"/>
    <n v="0"/>
    <n v="354"/>
    <n v="0"/>
    <n v="0"/>
    <n v="354"/>
    <n v="29.5"/>
  </r>
  <r>
    <s v="009270"/>
    <s v="Lawrence School-Upper School Campus"/>
    <s v="Summit"/>
    <x v="0"/>
    <n v="1"/>
    <x v="0"/>
    <n v="242"/>
    <n v="7139"/>
    <n v="242"/>
    <n v="1"/>
    <n v="0"/>
    <n v="7139"/>
    <n v="0"/>
    <n v="0"/>
    <n v="7139"/>
    <n v="29.5"/>
  </r>
  <r>
    <s v="008063"/>
    <s v="Life Skills Center of North Akron"/>
    <s v="Summit"/>
    <x v="4"/>
    <n v="1"/>
    <x v="8"/>
    <n v="91.788037000000003"/>
    <n v="2707.7470914999999"/>
    <n v="136.77636308807101"/>
    <n v="1.4901327837316207"/>
    <n v="2376.0714406862048"/>
    <n v="5083.8185321862047"/>
    <n v="0"/>
    <n v="0"/>
    <n v="5083.8185321862047"/>
    <n v="55.386504585409149"/>
  </r>
  <r>
    <s v="014066"/>
    <s v="Main Preparatory Academy"/>
    <s v="Summit"/>
    <x v="4"/>
    <n v="1"/>
    <x v="8"/>
    <n v="151.83431899999999"/>
    <n v="4479.1124104999999"/>
    <n v="194.99600837522399"/>
    <n v="1.2842683370893506"/>
    <n v="2279.5970949324173"/>
    <n v="6758.7095054324172"/>
    <n v="0"/>
    <n v="0"/>
    <n v="6758.7095054324172"/>
    <n v="44.513714356188586"/>
  </r>
  <r>
    <s v="050005"/>
    <s v="Manchester Local"/>
    <s v="Summit"/>
    <x v="1"/>
    <n v="1"/>
    <x v="7"/>
    <n v="1288.417312"/>
    <n v="38008.310704000003"/>
    <n v="1540.2324265346999"/>
    <n v="1.1954453050183014"/>
    <n v="13299.688030350566"/>
    <n v="51307.998734350571"/>
    <n v="748990.80769353814"/>
    <n v="15012.997706374646"/>
    <n v="66320.996440725212"/>
    <n v="51.474779035509584"/>
  </r>
  <r>
    <s v="054171"/>
    <s v="Mayfair Christian School"/>
    <s v="Summit"/>
    <x v="0"/>
    <n v="1"/>
    <x v="0"/>
    <n v="83"/>
    <n v="2448.5"/>
    <n v="111.13239999999999"/>
    <n v="1.338944578313253"/>
    <n v="1485.820834211587"/>
    <n v="3934.3208342115868"/>
    <n v="0"/>
    <n v="0"/>
    <n v="3934.3208342115868"/>
    <n v="47.401455833874536"/>
  </r>
  <r>
    <s v="134213"/>
    <s v="Middlebury Academy"/>
    <s v="Summit"/>
    <x v="4"/>
    <n v="1"/>
    <x v="8"/>
    <n v="256.09090600000002"/>
    <n v="7554.6817270000001"/>
    <n v="350.75944881018302"/>
    <n v="1.3696677257652523"/>
    <n v="4999.9464408234453"/>
    <n v="12554.628167823445"/>
    <n v="0"/>
    <n v="0"/>
    <n v="12554.628167823445"/>
    <n v="49.024107743300512"/>
  </r>
  <r>
    <s v="050039"/>
    <s v="Mogadore Local"/>
    <s v="Summit"/>
    <x v="1"/>
    <n v="1"/>
    <x v="7"/>
    <n v="857.37231399999996"/>
    <n v="25292.483262999998"/>
    <n v="995.38043539123498"/>
    <n v="1.1609663843090168"/>
    <n v="7288.9388055586751"/>
    <n v="32581.422068558673"/>
    <n v="159075.32907303481"/>
    <n v="3188.5538860864553"/>
    <n v="35769.975954645131"/>
    <n v="41.720470057824997"/>
  </r>
  <r>
    <s v="050047"/>
    <s v="Nordonia Hills City"/>
    <s v="Summit"/>
    <x v="1"/>
    <n v="1"/>
    <x v="10"/>
    <n v="3523.4779990000002"/>
    <n v="103942.6009705"/>
    <n v="4072.4196166311799"/>
    <n v="1.1557953867703943"/>
    <n v="28992.510139277761"/>
    <n v="132935.11110977776"/>
    <n v="2421002.6500946246"/>
    <n v="48527.307491161235"/>
    <n v="181462.41860093898"/>
    <n v="51.500937043580208"/>
  </r>
  <r>
    <s v="044552"/>
    <s v="Norton City"/>
    <s v="Summit"/>
    <x v="1"/>
    <n v="1"/>
    <x v="7"/>
    <n v="2472.4489610000001"/>
    <n v="72937.244349500004"/>
    <n v="3075.39369110911"/>
    <n v="1.2438653899918097"/>
    <n v="31844.700127760101"/>
    <n v="104781.94447726011"/>
    <n v="1022152.1480374717"/>
    <n v="20488.326020058943"/>
    <n v="125270.27049731906"/>
    <n v="50.666473797158822"/>
  </r>
  <r>
    <s v="060848"/>
    <s v="Old Trail"/>
    <s v="Summit"/>
    <x v="0"/>
    <n v="1"/>
    <x v="0"/>
    <n v="345"/>
    <n v="10177.5"/>
    <n v="345"/>
    <n v="1"/>
    <n v="0"/>
    <n v="10177.5"/>
    <n v="0"/>
    <n v="0"/>
    <n v="10177.5"/>
    <n v="29.5"/>
  </r>
  <r>
    <s v="056937"/>
    <s v="Our Lady Of The Elms"/>
    <s v="Summit"/>
    <x v="0"/>
    <n v="1"/>
    <x v="0"/>
    <n v="214"/>
    <n v="6313"/>
    <n v="217.6"/>
    <n v="1.016822429906542"/>
    <n v="190.13504013741118"/>
    <n v="6503.1350401374111"/>
    <n v="0"/>
    <n v="0"/>
    <n v="6503.1350401374111"/>
    <n v="30.388481495969209"/>
  </r>
  <r>
    <s v="063495"/>
    <s v="Portage Lakes "/>
    <s v="Summit"/>
    <x v="3"/>
    <n v="1"/>
    <x v="4"/>
    <n v="339.02249499999999"/>
    <n v="10001.163602499999"/>
    <n v="408.570237212488"/>
    <n v="1.2051419691560232"/>
    <n v="3673.1840991771542"/>
    <n v="13674.347701677154"/>
    <n v="0"/>
    <n v="0"/>
    <n v="13674.347701677154"/>
    <n v="40.334632372041135"/>
  </r>
  <r>
    <s v="060368"/>
    <s v="Redeemer Lutheran"/>
    <s v="Summit"/>
    <x v="0"/>
    <n v="1"/>
    <x v="0"/>
    <n v="130"/>
    <n v="3835"/>
    <n v="138.48700000000002"/>
    <n v="1.0652846153846156"/>
    <n v="448.24335712394884"/>
    <n v="4283.243357123949"/>
    <n v="0"/>
    <n v="0"/>
    <n v="4283.243357123949"/>
    <n v="32.948025824030374"/>
  </r>
  <r>
    <s v="050054"/>
    <s v="Revere Local"/>
    <s v="Summit"/>
    <x v="1"/>
    <n v="1"/>
    <x v="11"/>
    <n v="2661.425303"/>
    <n v="78512.046438499994"/>
    <n v="3049.9164419429999"/>
    <n v="1.1459710849314788"/>
    <n v="20518.271748876665"/>
    <n v="99030.318187376659"/>
    <n v="1862563.934685631"/>
    <n v="37333.793408654084"/>
    <n v="136364.11159603074"/>
    <n v="51.237249244725746"/>
  </r>
  <r>
    <s v="010582"/>
    <s v="S.U.P.E.R. Learning Center's Faith Christian Academy"/>
    <s v="Summit"/>
    <x v="0"/>
    <n v="1"/>
    <x v="0"/>
    <n v="132"/>
    <n v="3894"/>
    <n v="222.7002"/>
    <n v="1.6871227272727272"/>
    <n v="4790.3572687420137"/>
    <n v="8684.3572687420128"/>
    <n v="0"/>
    <n v="0"/>
    <n v="8684.3572687420128"/>
    <n v="65.79058536925767"/>
  </r>
  <r>
    <s v="147231"/>
    <s v="Schnee Learning Center"/>
    <s v="Summit"/>
    <x v="4"/>
    <n v="1"/>
    <x v="8"/>
    <n v="85.076924000000005"/>
    <n v="2509.7692580000003"/>
    <n v="117.470174593797"/>
    <n v="1.3807524892860135"/>
    <n v="1710.8588893980057"/>
    <n v="4220.6281473980061"/>
    <n v="0"/>
    <n v="0"/>
    <n v="4220.6281473980061"/>
    <n v="49.609552731337651"/>
  </r>
  <r>
    <s v="126599"/>
    <s v="Seton Catholic"/>
    <s v="Summit"/>
    <x v="0"/>
    <n v="1"/>
    <x v="0"/>
    <n v="423"/>
    <n v="12478.5"/>
    <n v="430.97400000000005"/>
    <n v="1.0188510638297874"/>
    <n v="421.14911390436896"/>
    <n v="12899.649113904368"/>
    <n v="0"/>
    <n v="0"/>
    <n v="12899.649113904368"/>
    <n v="30.495624382752645"/>
  </r>
  <r>
    <s v="096693"/>
    <s v="Spring Garden"/>
    <s v="Summit"/>
    <x v="0"/>
    <n v="1"/>
    <x v="0"/>
    <n v="149"/>
    <n v="4395.5"/>
    <n v="149"/>
    <n v="1"/>
    <n v="0"/>
    <n v="4395.5"/>
    <n v="0"/>
    <n v="0"/>
    <n v="4395.5"/>
    <n v="29.5"/>
  </r>
  <r>
    <s v="050062"/>
    <s v="Springfield Local"/>
    <s v="Summit"/>
    <x v="1"/>
    <n v="1"/>
    <x v="6"/>
    <n v="2153.6983599999999"/>
    <n v="63534.101619999994"/>
    <n v="2750.78996756378"/>
    <n v="1.2772401273332354"/>
    <n v="31535.565769403027"/>
    <n v="95069.667389403025"/>
    <n v="1203892.5912150238"/>
    <n v="24131.18629091089"/>
    <n v="119200.85368031391"/>
    <n v="55.347051330026517"/>
  </r>
  <r>
    <s v="056994"/>
    <s v="St Anthony Of Padua"/>
    <s v="Summit"/>
    <x v="0"/>
    <n v="1"/>
    <x v="0"/>
    <n v="168"/>
    <n v="4956"/>
    <n v="199.75739999999999"/>
    <n v="1.1890321428571429"/>
    <n v="1677.276256572175"/>
    <n v="6633.276256572175"/>
    <n v="0"/>
    <n v="0"/>
    <n v="6633.276256572175"/>
    <n v="39.483787241501041"/>
  </r>
  <r>
    <s v="057182"/>
    <s v="St Augustine"/>
    <s v="Summit"/>
    <x v="0"/>
    <n v="1"/>
    <x v="0"/>
    <n v="233"/>
    <n v="6873.5"/>
    <n v="258.59840000000003"/>
    <n v="1.1098643776824035"/>
    <n v="1351.9868920704221"/>
    <n v="8225.4868920704212"/>
    <n v="0"/>
    <n v="0"/>
    <n v="8225.4868920704212"/>
    <n v="35.302518850087644"/>
  </r>
  <r>
    <s v="057455"/>
    <s v="St Barnabas"/>
    <s v="Summit"/>
    <x v="0"/>
    <n v="1"/>
    <x v="0"/>
    <n v="368"/>
    <n v="10856"/>
    <n v="379.96099999999996"/>
    <n v="1.0325027173913042"/>
    <n v="631.7236708565473"/>
    <n v="11487.723670856547"/>
    <n v="0"/>
    <n v="0"/>
    <n v="11487.723670856547"/>
    <n v="31.216640409936268"/>
  </r>
  <r>
    <s v="057018"/>
    <s v="St Francis De Sales"/>
    <s v="Summit"/>
    <x v="0"/>
    <n v="1"/>
    <x v="0"/>
    <n v="296"/>
    <n v="8732"/>
    <n v="317.57239999999996"/>
    <n v="1.0728797297297297"/>
    <n v="1139.35253885008"/>
    <n v="9871.3525388500802"/>
    <n v="0"/>
    <n v="0"/>
    <n v="9871.3525388500802"/>
    <n v="33.349163982601624"/>
  </r>
  <r>
    <s v="057034"/>
    <s v="St Hilary"/>
    <s v="Summit"/>
    <x v="0"/>
    <n v="1"/>
    <x v="0"/>
    <n v="539"/>
    <n v="15900.5"/>
    <n v="557.83500000000004"/>
    <n v="1.0349443413729129"/>
    <n v="994.77596694115346"/>
    <n v="16895.275966941153"/>
    <n v="0"/>
    <n v="0"/>
    <n v="16895.275966941153"/>
    <n v="31.345595485976165"/>
  </r>
  <r>
    <s v="057240"/>
    <s v="St Joseph"/>
    <s v="Summit"/>
    <x v="0"/>
    <n v="1"/>
    <x v="0"/>
    <n v="161"/>
    <n v="4749.5"/>
    <n v="169.53360000000001"/>
    <n v="1.0530037267080745"/>
    <n v="450.70454958794886"/>
    <n v="5200.2045495879493"/>
    <n v="0"/>
    <n v="0"/>
    <n v="5200.2045495879493"/>
    <n v="32.299407140297824"/>
  </r>
  <r>
    <s v="057067"/>
    <s v="St Mary Elementary"/>
    <s v="Summit"/>
    <x v="0"/>
    <n v="1"/>
    <x v="0"/>
    <n v="204"/>
    <n v="6018"/>
    <n v="228.14880000000002"/>
    <n v="1.1183764705882353"/>
    <n v="1275.4258492417575"/>
    <n v="7293.4258492417575"/>
    <n v="0"/>
    <n v="0"/>
    <n v="7293.4258492417575"/>
    <n v="35.752087496283124"/>
  </r>
  <r>
    <s v="057075"/>
    <s v="St Matthew Parish School"/>
    <s v="Summit"/>
    <x v="0"/>
    <n v="1"/>
    <x v="0"/>
    <n v="130"/>
    <n v="3835"/>
    <n v="130"/>
    <n v="1"/>
    <n v="0"/>
    <n v="3835"/>
    <n v="0"/>
    <n v="0"/>
    <n v="3835"/>
    <n v="29.5"/>
  </r>
  <r>
    <s v="060962"/>
    <s v="St Sebastian"/>
    <s v="Summit"/>
    <x v="0"/>
    <n v="1"/>
    <x v="0"/>
    <n v="325"/>
    <n v="9587.5"/>
    <n v="329.94959999999998"/>
    <n v="1.0152295384615384"/>
    <n v="261.41455407336866"/>
    <n v="9848.914554073368"/>
    <n v="0"/>
    <n v="0"/>
    <n v="9848.914554073368"/>
    <n v="30.304352474071901"/>
  </r>
  <r>
    <s v="057109"/>
    <s v="St Vincent De Paul"/>
    <s v="Summit"/>
    <x v="0"/>
    <n v="1"/>
    <x v="0"/>
    <n v="178"/>
    <n v="5251"/>
    <n v="191.3236"/>
    <n v="1.0748516853932584"/>
    <n v="703.68978354855983"/>
    <n v="5954.6897835485597"/>
    <n v="0"/>
    <n v="0"/>
    <n v="5954.6897835485597"/>
    <n v="33.453313390722244"/>
  </r>
  <r>
    <s v="053850"/>
    <s v="St Vincent St Mary"/>
    <s v="Summit"/>
    <x v="0"/>
    <n v="1"/>
    <x v="0"/>
    <n v="592"/>
    <n v="17464"/>
    <n v="656.97980000000007"/>
    <n v="1.1097631756756758"/>
    <n v="3431.9269114224958"/>
    <n v="20895.926911422495"/>
    <n v="0"/>
    <n v="0"/>
    <n v="20895.926911422495"/>
    <n v="35.297173836862321"/>
  </r>
  <r>
    <s v="012627"/>
    <s v="STEAM Academy of Akron"/>
    <s v="Summit"/>
    <x v="4"/>
    <n v="1"/>
    <x v="8"/>
    <n v="158.09697499999999"/>
    <n v="4663.8607624999995"/>
    <n v="214.84169059477699"/>
    <n v="1.3589234746254759"/>
    <n v="2996.9885492219237"/>
    <n v="7660.8493117219232"/>
    <n v="0"/>
    <n v="0"/>
    <n v="7660.8493117219232"/>
    <n v="48.456647015048354"/>
  </r>
  <r>
    <s v="014927"/>
    <s v="Steel Academy"/>
    <s v="Summit"/>
    <x v="4"/>
    <n v="1"/>
    <x v="8"/>
    <n v="96.276472999999996"/>
    <n v="2840.1559534999997"/>
    <n v="205.559998046365"/>
    <n v="2.1351010443264267"/>
    <n v="5771.8409502912291"/>
    <n v="8611.9969037912288"/>
    <n v="0"/>
    <n v="0"/>
    <n v="8611.9969037912288"/>
    <n v="89.450689617506342"/>
  </r>
  <r>
    <s v="044834"/>
    <s v="Stow-Munroe Falls City School District"/>
    <s v="Summit"/>
    <x v="1"/>
    <n v="1"/>
    <x v="10"/>
    <n v="5181.4710770000002"/>
    <n v="152853.3967715"/>
    <n v="6203.02529608434"/>
    <n v="1.1971552487514425"/>
    <n v="53953.681235595286"/>
    <n v="206807.07800709529"/>
    <n v="2778976.1666439697"/>
    <n v="55702.636651004745"/>
    <n v="262509.71465810004"/>
    <n v="50.663163174518679"/>
  </r>
  <r>
    <s v="133587"/>
    <s v="Summit Academy Akron Elementary School"/>
    <s v="Summit"/>
    <x v="4"/>
    <n v="1"/>
    <x v="8"/>
    <n v="122.287575"/>
    <n v="3607.4834625000003"/>
    <n v="304.03138130523899"/>
    <n v="2.4862001009116339"/>
    <n v="9598.8516407145999"/>
    <n v="13206.3351032146"/>
    <n v="0"/>
    <n v="0"/>
    <n v="13206.3351032146"/>
    <n v="107.99408773307182"/>
  </r>
  <r>
    <s v="132779"/>
    <s v="Summit Academy Akron Middle School"/>
    <s v="Summit"/>
    <x v="4"/>
    <n v="1"/>
    <x v="8"/>
    <n v="76.113094000000004"/>
    <n v="2245.3362729999999"/>
    <n v="222.15133236693001"/>
    <n v="2.9187005900315914"/>
    <n v="7713.0517537480846"/>
    <n v="9958.3880267480854"/>
    <n v="0"/>
    <n v="0"/>
    <n v="9958.3880267480854"/>
    <n v="130.83672602703663"/>
  </r>
  <r>
    <s v="000298"/>
    <s v="Summit Academy Secondary - Akron"/>
    <s v="Summit"/>
    <x v="4"/>
    <n v="1"/>
    <x v="8"/>
    <n v="67.285803999999999"/>
    <n v="1984.9312179999999"/>
    <n v="215.88923079798801"/>
    <n v="3.2085405533385321"/>
    <n v="7848.532921886761"/>
    <n v="9833.4641398867607"/>
    <n v="0"/>
    <n v="0"/>
    <n v="9833.4641398867607"/>
    <n v="146.14470743170077"/>
  </r>
  <r>
    <s v="096966"/>
    <s v="Summit Christian School"/>
    <s v="Summit"/>
    <x v="0"/>
    <n v="1"/>
    <x v="0"/>
    <n v="193"/>
    <n v="5693.5"/>
    <n v="206.4"/>
    <n v="1.0694300518134716"/>
    <n v="707.72487162258756"/>
    <n v="6401.2248716225877"/>
    <n v="0"/>
    <n v="0"/>
    <n v="6401.2248716225877"/>
    <n v="33.166968246749157"/>
  </r>
  <r>
    <s v="044883"/>
    <s v="Tallmadge City"/>
    <s v="Summit"/>
    <x v="1"/>
    <n v="1"/>
    <x v="10"/>
    <n v="2357.8399690000001"/>
    <n v="69556.279085500006"/>
    <n v="2812.65968724301"/>
    <n v="1.1928967717159815"/>
    <n v="24021.434828728019"/>
    <n v="93577.713914228021"/>
    <n v="1370212.5847862635"/>
    <n v="27464.954417783469"/>
    <n v="121042.6683320115"/>
    <n v="51.336252639464647"/>
  </r>
  <r>
    <s v="017448"/>
    <s v="TES School"/>
    <s v="Summit"/>
    <x v="0"/>
    <n v="1"/>
    <x v="0"/>
    <n v="47"/>
    <n v="1386.5"/>
    <n v="47"/>
    <n v="1"/>
    <n v="0"/>
    <n v="1386.5"/>
    <n v="0"/>
    <n v="0"/>
    <n v="1386.5"/>
    <n v="29.5"/>
  </r>
  <r>
    <s v="065722"/>
    <s v="The Lippman School"/>
    <s v="Summit"/>
    <x v="0"/>
    <n v="1"/>
    <x v="0"/>
    <n v="113"/>
    <n v="3333.5"/>
    <n v="113"/>
    <n v="1"/>
    <n v="0"/>
    <n v="3333.5"/>
    <n v="0"/>
    <n v="0"/>
    <n v="3333.5"/>
    <n v="29.5"/>
  </r>
  <r>
    <s v="133868"/>
    <s v="Towpath Trail High School"/>
    <s v="Summit"/>
    <x v="4"/>
    <n v="1"/>
    <x v="8"/>
    <n v="442.57560699999999"/>
    <n v="13055.980406499999"/>
    <n v="644.11594138683301"/>
    <n v="1.4553805749778546"/>
    <n v="10644.41099109662"/>
    <n v="23700.391397596621"/>
    <n v="0"/>
    <n v="0"/>
    <n v="23700.391397596621"/>
    <n v="53.551056639225536"/>
  </r>
  <r>
    <s v="050070"/>
    <s v="Twinsburg City"/>
    <s v="Summit"/>
    <x v="1"/>
    <n v="1"/>
    <x v="10"/>
    <n v="4185.3924370000004"/>
    <n v="123469.07689150001"/>
    <n v="4824.6116990259798"/>
    <n v="1.1527262429145493"/>
    <n v="33760.550011643369"/>
    <n v="157229.62690314336"/>
    <n v="3029006.9230340333"/>
    <n v="60714.328561839298"/>
    <n v="217943.95546498266"/>
    <n v="52.072525753690186"/>
  </r>
  <r>
    <s v="062489"/>
    <s v="Walsh Jesuit"/>
    <s v="Summit"/>
    <x v="0"/>
    <n v="1"/>
    <x v="0"/>
    <n v="1013"/>
    <n v="29883.5"/>
    <n v="1013"/>
    <n v="1"/>
    <n v="0"/>
    <n v="29883.5"/>
    <n v="0"/>
    <n v="0"/>
    <n v="29883.5"/>
    <n v="29.5"/>
  </r>
  <r>
    <s v="053975"/>
    <s v="Western Reserve Academy"/>
    <s v="Summit"/>
    <x v="0"/>
    <n v="1"/>
    <x v="0"/>
    <n v="214"/>
    <n v="6313"/>
    <n v="214"/>
    <n v="1"/>
    <n v="0"/>
    <n v="6313"/>
    <n v="0"/>
    <n v="0"/>
    <n v="6313"/>
    <n v="29.5"/>
  </r>
  <r>
    <s v="049973"/>
    <s v="Woodridge Local"/>
    <s v="Summit"/>
    <x v="1"/>
    <n v="1"/>
    <x v="10"/>
    <n v="1859.7347130000001"/>
    <n v="54862.174033499999"/>
    <n v="2302.2333571095501"/>
    <n v="1.2379364330925138"/>
    <n v="23370.693738477625"/>
    <n v="78232.867771977617"/>
    <n v="1369416.6989764816"/>
    <n v="27449.001442507863"/>
    <n v="105681.86921448549"/>
    <n v="56.826314245652028"/>
  </r>
  <r>
    <s v="050096"/>
    <s v="Bloomfield-Mespo Local"/>
    <s v="Trumbull"/>
    <x v="1"/>
    <n v="1"/>
    <x v="1"/>
    <n v="232.70954599999999"/>
    <n v="6864.9316069999995"/>
    <n v="281.81627837458302"/>
    <n v="1.2110215640856565"/>
    <n v="2593.5862586273529"/>
    <n v="9458.5178656273529"/>
    <n v="434390.50509558333"/>
    <n v="8707.0543318861346"/>
    <n v="18165.572197513487"/>
    <n v="78.061138916550888"/>
  </r>
  <r>
    <s v="050112"/>
    <s v="Bristol Local"/>
    <s v="Trumbull"/>
    <x v="1"/>
    <n v="1"/>
    <x v="3"/>
    <n v="500.080107"/>
    <n v="14752.3631565"/>
    <n v="608.94625401697101"/>
    <n v="1.2176974158601575"/>
    <n v="5749.7970090769786"/>
    <n v="20502.160165576977"/>
    <n v="597978.87297164532"/>
    <n v="11986.068929242561"/>
    <n v="32488.229094819537"/>
    <n v="64.966049718949407"/>
  </r>
  <r>
    <s v="050120"/>
    <s v="Brookfield Local "/>
    <s v="Trumbull"/>
    <x v="1"/>
    <n v="1"/>
    <x v="6"/>
    <n v="979.56809999999996"/>
    <n v="28897.258949999999"/>
    <n v="1170.0338416644399"/>
    <n v="1.194438489436763"/>
    <n v="10059.503176713928"/>
    <n v="38956.762126713926"/>
    <n v="709272.87736779614"/>
    <n v="14216.879528745032"/>
    <n v="53173.64165545896"/>
    <n v="54.282741195286945"/>
  </r>
  <r>
    <s v="050138"/>
    <s v="Champion Local"/>
    <s v="Trumbull"/>
    <x v="1"/>
    <n v="1"/>
    <x v="7"/>
    <n v="1323.1999040000001"/>
    <n v="39034.397168000003"/>
    <n v="1534.7943069985599"/>
    <n v="1.1599111384144718"/>
    <n v="11175.419529717446"/>
    <n v="50209.816697717448"/>
    <n v="934035.57647825812"/>
    <n v="18722.090876551872"/>
    <n v="68931.907574269324"/>
    <n v="52.094855332055197"/>
  </r>
  <r>
    <s v="044065"/>
    <s v="Girard City School District"/>
    <s v="Trumbull"/>
    <x v="1"/>
    <n v="1"/>
    <x v="6"/>
    <n v="1688.7905330000001"/>
    <n v="49819.320723500001"/>
    <n v="2147.4068548821001"/>
    <n v="1.2715649530953996"/>
    <n v="24221.953546868092"/>
    <n v="74041.2742703681"/>
    <n v="1352616.676379482"/>
    <n v="27112.256721310969"/>
    <n v="101153.53099167907"/>
    <n v="59.897026312664124"/>
  </r>
  <r>
    <s v="000204"/>
    <s v="Holy Trinity Orthodox Christian Academy"/>
    <s v="Trumbull"/>
    <x v="0"/>
    <n v="1"/>
    <x v="0"/>
    <n v="40"/>
    <n v="1180"/>
    <n v="40"/>
    <n v="1"/>
    <n v="0"/>
    <n v="1180"/>
    <n v="0"/>
    <n v="0"/>
    <n v="1180"/>
    <n v="29.5"/>
  </r>
  <r>
    <s v="013170"/>
    <s v="Hope Academy for Autism"/>
    <s v="Trumbull"/>
    <x v="4"/>
    <n v="1"/>
    <x v="8"/>
    <n v="48.228912999999999"/>
    <n v="1422.7529334999999"/>
    <n v="138.96074916175999"/>
    <n v="2.8812747482357728"/>
    <n v="4792.0281417659107"/>
    <n v="6214.7810752659107"/>
    <n v="40112.639999999999"/>
    <n v="804.02985741720386"/>
    <n v="7018.8109326831145"/>
    <n v="145.53118650389476"/>
  </r>
  <r>
    <s v="050161"/>
    <s v="Howland Local"/>
    <s v="Trumbull"/>
    <x v="1"/>
    <n v="1"/>
    <x v="10"/>
    <n v="2540.8820430000001"/>
    <n v="74956.020268499997"/>
    <n v="3032.2306471505099"/>
    <n v="1.1933771799852535"/>
    <n v="25950.71849211619"/>
    <n v="100906.73876061619"/>
    <n v="1540938.4407134755"/>
    <n v="30887.034978888056"/>
    <n v="131793.77373950425"/>
    <n v="51.869300309547761"/>
  </r>
  <r>
    <s v="045427"/>
    <s v="Hubbard Exempted Village"/>
    <s v="Trumbull"/>
    <x v="1"/>
    <n v="1"/>
    <x v="6"/>
    <n v="1900.1051010000001"/>
    <n v="56053.100479500004"/>
    <n v="2182.5322971589799"/>
    <n v="1.1486376706269259"/>
    <n v="14916.473965995614"/>
    <n v="70969.574445495615"/>
    <n v="1130094.9472528098"/>
    <n v="22651.964051919276"/>
    <n v="93621.538497414891"/>
    <n v="49.271768413306781"/>
  </r>
  <r>
    <s v="053124"/>
    <s v="John F Kennedy Catholic Upper School"/>
    <s v="Trumbull"/>
    <x v="0"/>
    <n v="1"/>
    <x v="0"/>
    <n v="316"/>
    <n v="9322"/>
    <n v="332.4366"/>
    <n v="1.0520145569620254"/>
    <n v="868.10377797849378"/>
    <n v="10190.103777978493"/>
    <n v="0"/>
    <n v="0"/>
    <n v="10190.103777978493"/>
    <n v="32.24716385436232"/>
  </r>
  <r>
    <s v="060020"/>
    <s v="John F. Kennedy Catholic Lower School"/>
    <s v="Trumbull"/>
    <x v="0"/>
    <n v="1"/>
    <x v="0"/>
    <n v="272"/>
    <n v="8024"/>
    <n v="296.78620000000001"/>
    <n v="1.0911257352941177"/>
    <n v="1309.0903144038639"/>
    <n v="9333.0903144038639"/>
    <n v="0"/>
    <n v="0"/>
    <n v="9333.0903144038639"/>
    <n v="34.312832038249496"/>
  </r>
  <r>
    <s v="050179"/>
    <s v="Joseph Badger Local"/>
    <s v="Trumbull"/>
    <x v="1"/>
    <n v="1"/>
    <x v="3"/>
    <n v="684.03699099999994"/>
    <n v="20179.0912345"/>
    <n v="845.20962161975694"/>
    <n v="1.2356197584930857"/>
    <n v="8512.3790533165811"/>
    <n v="28691.470287816581"/>
    <n v="1189407.479135077"/>
    <n v="23840.84233448439"/>
    <n v="52532.312622300975"/>
    <n v="76.797473401991766"/>
  </r>
  <r>
    <s v="050245"/>
    <s v="LaBrae Local"/>
    <s v="Trumbull"/>
    <x v="1"/>
    <n v="1"/>
    <x v="1"/>
    <n v="1078.772236"/>
    <n v="31823.780962000001"/>
    <n v="1351.36359263688"/>
    <n v="1.2526866631714833"/>
    <n v="14396.991259795728"/>
    <n v="46220.772221795727"/>
    <n v="681624.40655604319"/>
    <n v="13662.685238751219"/>
    <n v="59883.457460546946"/>
    <n v="55.510751447024582"/>
  </r>
  <r>
    <s v="050187"/>
    <s v="Lakeview Local"/>
    <s v="Trumbull"/>
    <x v="1"/>
    <n v="1"/>
    <x v="7"/>
    <n v="1622.5082170000001"/>
    <n v="47863.9924015"/>
    <n v="1847.9901018361199"/>
    <n v="1.138971182070827"/>
    <n v="11908.89089543746"/>
    <n v="59772.883296937463"/>
    <n v="1095949.7703388552"/>
    <n v="21967.547824874335"/>
    <n v="81740.431121811795"/>
    <n v="50.37905525862233"/>
  </r>
  <r>
    <s v="050195"/>
    <s v="Liberty Local"/>
    <s v="Trumbull"/>
    <x v="1"/>
    <n v="1"/>
    <x v="6"/>
    <n v="1234.183663"/>
    <n v="36408.418058499999"/>
    <n v="1615.41401109048"/>
    <n v="1.3088927195518063"/>
    <n v="20134.790982161881"/>
    <n v="56543.209040661881"/>
    <n v="1099254.1542719731"/>
    <n v="22033.781893302552"/>
    <n v="78576.990933964436"/>
    <n v="63.667177981405864"/>
  </r>
  <r>
    <s v="050203"/>
    <s v="Lordstown Local"/>
    <s v="Trumbull"/>
    <x v="1"/>
    <n v="1"/>
    <x v="1"/>
    <n v="474.35398600000002"/>
    <n v="13993.442587000001"/>
    <n v="576.77236052779904"/>
    <n v="1.2159112762842874"/>
    <n v="5409.2560421254193"/>
    <n v="19402.698629125422"/>
    <n v="363992.52008215059"/>
    <n v="7295.9758824794453"/>
    <n v="26698.674511604866"/>
    <n v="56.284284099185086"/>
  </r>
  <r>
    <s v="050211"/>
    <s v="Maplewood Local"/>
    <s v="Trumbull"/>
    <x v="1"/>
    <n v="1"/>
    <x v="3"/>
    <n v="679.09685999999999"/>
    <n v="20033.357370000002"/>
    <n v="793.72248986704005"/>
    <n v="1.1687912823909097"/>
    <n v="6053.9857598738154"/>
    <n v="26087.343129873818"/>
    <n v="944950.34658535128"/>
    <n v="18940.869821366967"/>
    <n v="45028.212951240785"/>
    <n v="66.306024373667086"/>
  </r>
  <r>
    <s v="050153"/>
    <s v="Mathews Local"/>
    <s v="Trumbull"/>
    <x v="1"/>
    <n v="1"/>
    <x v="7"/>
    <n v="635.55042800000001"/>
    <n v="18748.737626000002"/>
    <n v="743.35041614758302"/>
    <n v="1.1696167344058228"/>
    <n v="5693.4875203481051"/>
    <n v="24442.225146348108"/>
    <n v="771108.42290715314"/>
    <n v="15456.32985820039"/>
    <n v="39898.5550045485"/>
    <n v="62.777953167468404"/>
  </r>
  <r>
    <s v="050229"/>
    <s v="McDonald Local"/>
    <s v="Trumbull"/>
    <x v="1"/>
    <n v="1"/>
    <x v="7"/>
    <n v="766.38298199999997"/>
    <n v="22608.297968999999"/>
    <n v="897.99033688291695"/>
    <n v="1.171725309634964"/>
    <n v="6950.8804730672155"/>
    <n v="29559.178442067216"/>
    <n v="81919.037225750988"/>
    <n v="1642.0098956432485"/>
    <n v="31201.188337710464"/>
    <n v="40.712266674144999"/>
  </r>
  <r>
    <s v="045567"/>
    <s v="Newton Falls Exempted Village"/>
    <s v="Trumbull"/>
    <x v="1"/>
    <n v="1"/>
    <x v="1"/>
    <n v="961.49588300000005"/>
    <n v="28364.128548500001"/>
    <n v="1184.7043104101101"/>
    <n v="1.2321470443676461"/>
    <n v="11788.817584619383"/>
    <n v="40152.946133119382"/>
    <n v="486751.48851346457"/>
    <n v="9756.5936798747898"/>
    <n v="49909.539812994175"/>
    <n v="51.90821998870085"/>
  </r>
  <r>
    <s v="044495"/>
    <s v="Niles City"/>
    <s v="Trumbull"/>
    <x v="1"/>
    <n v="1"/>
    <x v="6"/>
    <n v="2209.030745"/>
    <n v="65166.406977500003"/>
    <n v="2835.2591774453799"/>
    <n v="1.2834856118968956"/>
    <n v="33074.435593941831"/>
    <n v="98240.842571441841"/>
    <n v="1103659.9840487605"/>
    <n v="22122.093674507549"/>
    <n v="120362.93624594939"/>
    <n v="54.486763716794435"/>
  </r>
  <r>
    <s v="133488"/>
    <s v="River Gate High School"/>
    <s v="Trumbull"/>
    <x v="4"/>
    <n v="1"/>
    <x v="8"/>
    <n v="170.61080799999999"/>
    <n v="5033.0188360000002"/>
    <n v="226.67324875700299"/>
    <n v="1.3285984130442838"/>
    <n v="2960.9540065372275"/>
    <n v="7993.9728425372277"/>
    <n v="0"/>
    <n v="0"/>
    <n v="7993.9728425372277"/>
    <n v="46.85502012590684"/>
  </r>
  <r>
    <s v="050237"/>
    <s v="Southington Local"/>
    <s v="Trumbull"/>
    <x v="1"/>
    <n v="1"/>
    <x v="3"/>
    <n v="484.24388099999999"/>
    <n v="14285.1944895"/>
    <n v="589.15349574963398"/>
    <n v="1.2166462372905731"/>
    <n v="5540.8316142283429"/>
    <n v="19826.026103728342"/>
    <n v="391005.38220662251"/>
    <n v="7837.4298401937649"/>
    <n v="27663.455943922105"/>
    <n v="57.127115136271811"/>
  </r>
  <r>
    <s v="059790"/>
    <s v="St Rose"/>
    <s v="Trumbull"/>
    <x v="0"/>
    <n v="1"/>
    <x v="0"/>
    <n v="279"/>
    <n v="8230.5"/>
    <n v="301.66019999999997"/>
    <n v="1.0812193548387097"/>
    <n v="1196.8050101449353"/>
    <n v="9427.3050101449353"/>
    <n v="0"/>
    <n v="0"/>
    <n v="9427.3050101449353"/>
    <n v="33.789623692275754"/>
  </r>
  <r>
    <s v="012644"/>
    <s v="STEAM Academy of Warren"/>
    <s v="Trumbull"/>
    <x v="4"/>
    <n v="1"/>
    <x v="8"/>
    <n v="209.73670999999999"/>
    <n v="6187.2329449999997"/>
    <n v="275.16337300246602"/>
    <n v="1.3119466449267085"/>
    <n v="3455.5281100085481"/>
    <n v="9642.7610550085483"/>
    <n v="0"/>
    <n v="0"/>
    <n v="9642.7610550085483"/>
    <n v="45.975552181630718"/>
  </r>
  <r>
    <s v="000616"/>
    <s v="Summit Academy Alternative LearnersWarren Middle &amp; Secondary"/>
    <s v="Trumbull"/>
    <x v="4"/>
    <n v="1"/>
    <x v="8"/>
    <n v="97.018708000000004"/>
    <n v="2862.0518860000002"/>
    <n v="287.39378936387698"/>
    <n v="2.9622512532724818"/>
    <n v="10054.714926745481"/>
    <n v="12916.766812745482"/>
    <n v="0"/>
    <n v="0"/>
    <n v="12916.766812745482"/>
    <n v="133.1368668890693"/>
  </r>
  <r>
    <s v="000305"/>
    <s v="Summit Academy Community School-Warren"/>
    <s v="Trumbull"/>
    <x v="4"/>
    <n v="1"/>
    <x v="8"/>
    <n v="127.32142899999999"/>
    <n v="3755.9821554999999"/>
    <n v="342.08294038226501"/>
    <n v="2.6867664231310586"/>
    <n v="11342.691274066143"/>
    <n v="15098.673429566143"/>
    <n v="0"/>
    <n v="0"/>
    <n v="15098.673429566143"/>
    <n v="118.58705599012829"/>
  </r>
  <r>
    <s v="051631"/>
    <s v="Trumbull Career &amp; Tech Ctr"/>
    <s v="Trumbull"/>
    <x v="3"/>
    <n v="1"/>
    <x v="4"/>
    <n v="954.86188900000002"/>
    <n v="28168.425725500001"/>
    <n v="1405.3773204946301"/>
    <n v="1.4718121402524948"/>
    <n v="23794.102680487431"/>
    <n v="51962.528405987432"/>
    <n v="0"/>
    <n v="0"/>
    <n v="51962.528405987432"/>
    <n v="54.41889450672948"/>
  </r>
  <r>
    <n v="66266"/>
    <s v="Trumbull County Board of DD"/>
    <s v="Trumbull"/>
    <x v="2"/>
    <n v="1"/>
    <x v="2"/>
    <n v="105.47"/>
    <n v="3111.3649999999998"/>
    <n v="474.94337899999994"/>
    <n v="4.5031134825068735"/>
    <n v="19513.843262741677"/>
    <n v="22625.208262741675"/>
    <n v="0"/>
    <n v="0"/>
    <n v="22625.208262741675"/>
    <n v="214.51795072287547"/>
  </r>
  <r>
    <s v="090456"/>
    <s v="Victory Christian"/>
    <s v="Trumbull"/>
    <x v="0"/>
    <n v="1"/>
    <x v="0"/>
    <n v="129"/>
    <n v="3805.5"/>
    <n v="136.57479999999998"/>
    <n v="1.058719379844961"/>
    <n v="400.06525056468359"/>
    <n v="4205.565250564684"/>
    <n v="0"/>
    <n v="0"/>
    <n v="4205.565250564684"/>
    <n v="32.601281012129334"/>
  </r>
  <r>
    <s v="123133"/>
    <s v="Villa Maria Teresa"/>
    <s v="Trumbull"/>
    <x v="0"/>
    <n v="1"/>
    <x v="0"/>
    <n v="10"/>
    <n v="295"/>
    <n v="10"/>
    <n v="1"/>
    <n v="0"/>
    <n v="295"/>
    <n v="0"/>
    <n v="0"/>
    <n v="295"/>
    <n v="29.5"/>
  </r>
  <r>
    <s v="044990"/>
    <s v="Warren City"/>
    <s v="Trumbull"/>
    <x v="1"/>
    <n v="1"/>
    <x v="9"/>
    <n v="4759.5135460000001"/>
    <n v="140405.649607"/>
    <n v="6719.2273331527103"/>
    <n v="1.411746656084149"/>
    <n v="103502.84988281089"/>
    <n v="243908.4994898109"/>
    <n v="2418799.7075281665"/>
    <n v="48483.151045771272"/>
    <n v="292391.65053558216"/>
    <n v="61.433095569465188"/>
  </r>
  <r>
    <s v="050252"/>
    <s v="Weathersfield Local"/>
    <s v="Trumbull"/>
    <x v="1"/>
    <n v="1"/>
    <x v="7"/>
    <n v="986.19713000000002"/>
    <n v="29092.815334999999"/>
    <n v="1195.4270258781701"/>
    <n v="1.2121582891629081"/>
    <n v="11050.53740298397"/>
    <n v="40143.352737983965"/>
    <n v="345857.52136128867"/>
    <n v="6932.4724971177293"/>
    <n v="47075.825235101693"/>
    <n v="47.734701108998046"/>
  </r>
  <r>
    <s v="051656"/>
    <s v="Buckeye"/>
    <s v="Tuscarawas"/>
    <x v="3"/>
    <n v="1"/>
    <x v="4"/>
    <n v="946.67521099999999"/>
    <n v="27926.918724499999"/>
    <n v="1300.53580454086"/>
    <n v="1.3737930278823578"/>
    <n v="18689.249487761022"/>
    <n v="46616.168212261022"/>
    <n v="0"/>
    <n v="0"/>
    <n v="46616.168212261022"/>
    <n v="49.241986766526857"/>
  </r>
  <r>
    <s v="053116"/>
    <s v="Central Catholic Tuscarawas Co"/>
    <s v="Tuscarawas"/>
    <x v="0"/>
    <n v="1"/>
    <x v="0"/>
    <n v="159"/>
    <n v="4690.5"/>
    <n v="176.2234"/>
    <n v="1.1083232704402515"/>
    <n v="909.65884730630364"/>
    <n v="5600.1588473063039"/>
    <n v="0"/>
    <n v="0"/>
    <n v="5600.1588473063039"/>
    <n v="35.221124825825811"/>
  </r>
  <r>
    <s v="043778"/>
    <s v="Claymont City"/>
    <s v="Tuscarawas"/>
    <x v="1"/>
    <n v="1"/>
    <x v="1"/>
    <n v="1873.0569370000001"/>
    <n v="55255.179641499999"/>
    <n v="2600.0715216997701"/>
    <n v="1.3881433448916936"/>
    <n v="38397.485345103974"/>
    <n v="93652.664986603981"/>
    <n v="824604.52263575257"/>
    <n v="16528.621819965119"/>
    <n v="110181.2868065691"/>
    <n v="58.824312614352252"/>
  </r>
  <r>
    <s v="043893"/>
    <s v="Dover City"/>
    <s v="Tuscarawas"/>
    <x v="1"/>
    <n v="1"/>
    <x v="7"/>
    <n v="2678.697017"/>
    <n v="79021.562001500002"/>
    <n v="3130.71746448262"/>
    <n v="1.1687463884918419"/>
    <n v="23873.590534732964"/>
    <n v="102895.15253623297"/>
    <n v="958267.641982186"/>
    <n v="19207.805707888019"/>
    <n v="122102.95824412099"/>
    <n v="45.582967192336632"/>
  </r>
  <r>
    <s v="050278"/>
    <s v="Garaway Local"/>
    <s v="Tuscarawas"/>
    <x v="1"/>
    <n v="1"/>
    <x v="1"/>
    <n v="1201.7148090000001"/>
    <n v="35450.586865500001"/>
    <n v="1426.15800532607"/>
    <n v="1.186769102490165"/>
    <n v="11854.032261673956"/>
    <n v="47304.619127173959"/>
    <n v="1392188.5089158658"/>
    <n v="27905.446470775631"/>
    <n v="75210.065597949593"/>
    <n v="62.585619345521096"/>
  </r>
  <r>
    <s v="057679"/>
    <s v="Immaculate Conception"/>
    <s v="Tuscarawas"/>
    <x v="0"/>
    <n v="1"/>
    <x v="0"/>
    <n v="71"/>
    <n v="2094.5"/>
    <n v="74.112200000000001"/>
    <n v="1.0438338028169014"/>
    <n v="164.3717421987923"/>
    <n v="2258.8717421987922"/>
    <n v="0"/>
    <n v="0"/>
    <n v="2258.8717421987922"/>
    <n v="31.815094960546368"/>
  </r>
  <r>
    <s v="050286"/>
    <s v="Indian Valley Local"/>
    <s v="Tuscarawas"/>
    <x v="1"/>
    <n v="1"/>
    <x v="1"/>
    <n v="1719.717425"/>
    <n v="50731.664037499999"/>
    <n v="2032.5240242316499"/>
    <n v="1.1818941848726396"/>
    <n v="16520.970916710263"/>
    <n v="67252.634954210254"/>
    <n v="2018280.9987464207"/>
    <n v="40455.033217707351"/>
    <n v="107707.66817191761"/>
    <n v="62.631026822280184"/>
  </r>
  <r>
    <s v="044487"/>
    <s v="New Philadelphia City"/>
    <s v="Tuscarawas"/>
    <x v="1"/>
    <n v="1"/>
    <x v="6"/>
    <n v="3105.5283549999999"/>
    <n v="91613.086472499999"/>
    <n v="3743.6783709751699"/>
    <n v="1.2054883881345755"/>
    <n v="33704.077472535762"/>
    <n v="125317.16394503576"/>
    <n v="848036.2333143726"/>
    <n v="16998.294097730231"/>
    <n v="142315.458042766"/>
    <n v="45.826488047881952"/>
  </r>
  <r>
    <s v="045542"/>
    <s v="Newcomerstown Exempted Village"/>
    <s v="Tuscarawas"/>
    <x v="1"/>
    <n v="1"/>
    <x v="1"/>
    <n v="973.20245999999997"/>
    <n v="28709.472569999998"/>
    <n v="1319.7033988221001"/>
    <n v="1.3560419882437413"/>
    <n v="18300.547197386328"/>
    <n v="47010.019767386329"/>
    <n v="630597.05628779915"/>
    <n v="12639.877635946865"/>
    <n v="59649.897403333191"/>
    <n v="61.292382474385846"/>
  </r>
  <r>
    <s v="000241"/>
    <s v="Quaker Digital Academy"/>
    <s v="Tuscarawas"/>
    <x v="4"/>
    <n v="1"/>
    <x v="5"/>
    <n v="475.110613"/>
    <n v="2803.1526167000002"/>
    <n v="559.33920457434294"/>
    <n v="1.1772820671011677"/>
    <n v="0"/>
    <n v="2803.1526167000002"/>
    <n v="0"/>
    <n v="0"/>
    <n v="2803.1526167000002"/>
    <n v="5.9"/>
  </r>
  <r>
    <s v="050294"/>
    <s v="Strasburg-Franklin Local"/>
    <s v="Tuscarawas"/>
    <x v="1"/>
    <n v="1"/>
    <x v="1"/>
    <n v="531.43318599999998"/>
    <n v="15677.278987"/>
    <n v="613.67509888963696"/>
    <n v="1.1547549439067906"/>
    <n v="4343.6303911801742"/>
    <n v="20020.909378180175"/>
    <n v="289242.89763607673"/>
    <n v="5797.6718995626743"/>
    <n v="25818.581277742851"/>
    <n v="48.582930004944878"/>
  </r>
  <r>
    <s v="057943"/>
    <s v="Tuscarawas Central Catholic Elementary School"/>
    <s v="Tuscarawas"/>
    <x v="0"/>
    <n v="1"/>
    <x v="0"/>
    <n v="132"/>
    <n v="3894"/>
    <n v="146.52080000000001"/>
    <n v="1.1100060606060607"/>
    <n v="766.92024745203514"/>
    <n v="4660.9202474520353"/>
    <n v="0"/>
    <n v="0"/>
    <n v="4660.9202474520353"/>
    <n v="35.310001874636633"/>
  </r>
  <r>
    <n v="71167"/>
    <s v="Tuscarawas Co Bd Of DD"/>
    <s v="Tuscarawas"/>
    <x v="2"/>
    <n v="1"/>
    <x v="2"/>
    <n v="7"/>
    <n v="206.5"/>
    <n v="31.505500000000001"/>
    <n v="4.5007857142857146"/>
    <n v="1294.2650628020383"/>
    <n v="1500.7650628020383"/>
    <n v="0"/>
    <n v="0"/>
    <n v="1500.7650628020383"/>
    <n v="214.39500897171976"/>
  </r>
  <r>
    <s v="050302"/>
    <s v="Tuscarawas Valley Local"/>
    <s v="Tuscarawas"/>
    <x v="1"/>
    <n v="1"/>
    <x v="7"/>
    <n v="1294.2082760000001"/>
    <n v="38179.144142000005"/>
    <n v="1463.85811413137"/>
    <n v="1.1310838767433209"/>
    <n v="8960.1052173370535"/>
    <n v="47139.24935933706"/>
    <n v="1372100.8339983835"/>
    <n v="27502.803054641801"/>
    <n v="74642.052413978861"/>
    <n v="57.673910604771052"/>
  </r>
  <r>
    <s v="050328"/>
    <s v="Fairbanks Local"/>
    <s v="Union"/>
    <x v="1"/>
    <n v="1"/>
    <x v="7"/>
    <n v="1061.1668990000001"/>
    <n v="31304.4235205"/>
    <n v="1185.02631719393"/>
    <n v="1.1167200167199429"/>
    <n v="6541.6709582498079"/>
    <n v="37846.094478749808"/>
    <n v="1045589.656130659"/>
    <n v="20958.114502950619"/>
    <n v="58804.208981700431"/>
    <n v="55.414665720458387"/>
  </r>
  <r>
    <s v="045476"/>
    <s v="Marysville Exempted Village"/>
    <s v="Union"/>
    <x v="1"/>
    <n v="1"/>
    <x v="10"/>
    <n v="5005.4301779999996"/>
    <n v="147660.19025099999"/>
    <n v="6145.2834721278696"/>
    <n v="1.2277233431679426"/>
    <n v="60201.681063823125"/>
    <n v="207861.8713148231"/>
    <n v="3392002.2520091976"/>
    <n v="67990.316444935816"/>
    <n v="275852.1877597589"/>
    <n v="55.110585494168276"/>
  </r>
  <r>
    <s v="050336"/>
    <s v="North Union Local School District"/>
    <s v="Union"/>
    <x v="1"/>
    <n v="1"/>
    <x v="3"/>
    <n v="1495.9143979999999"/>
    <n v="44129.474740999998"/>
    <n v="1797.1894577263599"/>
    <n v="1.2013985961557407"/>
    <n v="15911.929325964586"/>
    <n v="60041.404066964584"/>
    <n v="1246407.6788712689"/>
    <n v="24983.371533924827"/>
    <n v="85024.775600889407"/>
    <n v="56.837995352251042"/>
  </r>
  <r>
    <s v="060426"/>
    <s v="St John Lutheran"/>
    <s v="Union"/>
    <x v="0"/>
    <n v="1"/>
    <x v="0"/>
    <n v="164"/>
    <n v="4838"/>
    <n v="173.81139999999999"/>
    <n v="1.0598256097560974"/>
    <n v="518.19192577894387"/>
    <n v="5356.1919257789441"/>
    <n v="0"/>
    <n v="0"/>
    <n v="5356.1919257789441"/>
    <n v="32.659706864505758"/>
  </r>
  <r>
    <s v="062497"/>
    <s v="Trinity Lutheran"/>
    <s v="Union"/>
    <x v="0"/>
    <n v="1"/>
    <x v="0"/>
    <n v="129"/>
    <n v="3805.5"/>
    <n v="132.887"/>
    <n v="1.0301317829457364"/>
    <n v="205.29302805947739"/>
    <n v="4010.7930280594774"/>
    <n v="0"/>
    <n v="0"/>
    <n v="4010.7930280594774"/>
    <n v="31.091418822166492"/>
  </r>
  <r>
    <s v="050351"/>
    <s v="Crestview Local"/>
    <s v="Van Wert"/>
    <x v="1"/>
    <n v="1"/>
    <x v="3"/>
    <n v="799.29616299999998"/>
    <n v="23579.236808499998"/>
    <n v="972.08083590520198"/>
    <n v="1.2161710275909356"/>
    <n v="9125.6724216555831"/>
    <n v="32704.909230155579"/>
    <n v="535379.08733351366"/>
    <n v="10731.299940689962"/>
    <n v="43436.209170845541"/>
    <n v="54.343072294775347"/>
  </r>
  <r>
    <s v="050369"/>
    <s v="Lincolnview Local"/>
    <s v="Van Wert"/>
    <x v="1"/>
    <n v="1"/>
    <x v="3"/>
    <n v="863.14689499999997"/>
    <n v="25462.8334025"/>
    <n v="997.33680955678096"/>
    <n v="1.1554659065960968"/>
    <n v="7087.2791084137152"/>
    <n v="32550.112510913714"/>
    <n v="747862.39430567354"/>
    <n v="14990.379448006401"/>
    <n v="47540.491958920116"/>
    <n v="55.078101113855155"/>
  </r>
  <r>
    <s v="059279"/>
    <s v="St Mary"/>
    <s v="Van Wert"/>
    <x v="0"/>
    <n v="1"/>
    <x v="0"/>
    <n v="86"/>
    <n v="2537"/>
    <n v="94.636600000000001"/>
    <n v="1.100425581395349"/>
    <n v="456.14452434743572"/>
    <n v="2993.1445243474359"/>
    <n v="0"/>
    <n v="0"/>
    <n v="2993.1445243474359"/>
    <n v="34.804006097063208"/>
  </r>
  <r>
    <s v="044966"/>
    <s v="Van Wert City"/>
    <s v="Van Wert"/>
    <x v="1"/>
    <n v="1"/>
    <x v="6"/>
    <n v="2058.7786580000002"/>
    <n v="60733.970411000002"/>
    <n v="2530.7230083745599"/>
    <n v="1.2292351091462304"/>
    <n v="24925.877222525414"/>
    <n v="85659.847633525409"/>
    <n v="452750.79120660044"/>
    <n v="9075.0734456612481"/>
    <n v="94734.921079186664"/>
    <n v="46.015107408980462"/>
  </r>
  <r>
    <s v="051672"/>
    <s v="Vantage Career Center"/>
    <s v="Van Wert"/>
    <x v="3"/>
    <n v="1"/>
    <x v="4"/>
    <n v="478.23615699999999"/>
    <n v="14107.966631499999"/>
    <n v="636.34814618527298"/>
    <n v="1.3306148790110677"/>
    <n v="8350.7303916521814"/>
    <n v="22458.697023152181"/>
    <n v="0"/>
    <n v="0"/>
    <n v="22458.697023152181"/>
    <n v="46.961520358554111"/>
  </r>
  <r>
    <s v="050393"/>
    <s v="Vinton County Local"/>
    <s v="Vinton"/>
    <x v="1"/>
    <n v="1"/>
    <x v="1"/>
    <n v="1956.8100730000001"/>
    <n v="57725.897153500002"/>
    <n v="2755.2790659341199"/>
    <n v="1.4080462401289568"/>
    <n v="42171.370561113166"/>
    <n v="99897.267714613175"/>
    <n v="3463480.647702327"/>
    <n v="69423.050971946679"/>
    <n v="169320.31868655985"/>
    <n v="86.528744420746776"/>
  </r>
  <r>
    <s v="052977"/>
    <s v="Bishop Fenwick"/>
    <s v="Warren"/>
    <x v="0"/>
    <n v="1"/>
    <x v="0"/>
    <n v="509"/>
    <n v="15015.5"/>
    <n v="529.6472"/>
    <n v="1.0405642436149312"/>
    <n v="1090.4878335347673"/>
    <n v="16105.987833534768"/>
    <n v="0"/>
    <n v="0"/>
    <n v="16105.987833534768"/>
    <n v="31.64241224663019"/>
  </r>
  <r>
    <s v="050419"/>
    <s v="Carlisle Local"/>
    <s v="Warren"/>
    <x v="1"/>
    <n v="1"/>
    <x v="6"/>
    <n v="1530.8728309999999"/>
    <n v="45160.748514499996"/>
    <n v="1763.39118993291"/>
    <n v="1.1518861359509687"/>
    <n v="12280.524307887201"/>
    <n v="57441.272822387196"/>
    <n v="863366.87506955443"/>
    <n v="17305.586106048137"/>
    <n v="74746.858928435337"/>
    <n v="48.826301842203989"/>
  </r>
  <r>
    <s v="044008"/>
    <s v="Franklin City"/>
    <s v="Warren"/>
    <x v="1"/>
    <n v="1"/>
    <x v="6"/>
    <n v="2751.343813"/>
    <n v="81164.642483499993"/>
    <n v="3481.3691935409802"/>
    <n v="1.2653341167656462"/>
    <n v="38556.501397357883"/>
    <n v="119721.14388085788"/>
    <n v="989696.29012418864"/>
    <n v="19837.771012700414"/>
    <n v="139558.91489355831"/>
    <n v="50.723909616147381"/>
  </r>
  <r>
    <s v="000282"/>
    <s v="Greater Ohio Virtual School"/>
    <s v="Warren"/>
    <x v="4"/>
    <n v="1"/>
    <x v="5"/>
    <n v="403.81119799999999"/>
    <n v="2382.4860681999999"/>
    <n v="493.54612648635202"/>
    <n v="1.2222200100710234"/>
    <n v="0"/>
    <n v="2382.4860681999999"/>
    <n v="0"/>
    <n v="0"/>
    <n v="2382.4860681999999"/>
    <n v="5.8999999999999995"/>
  </r>
  <r>
    <s v="050435"/>
    <s v="Kings Local"/>
    <s v="Warren"/>
    <x v="1"/>
    <n v="1"/>
    <x v="10"/>
    <n v="4703.3530410000003"/>
    <n v="138748.91470950001"/>
    <n v="5505.2258250568902"/>
    <n v="1.1704896011561998"/>
    <n v="42351.142772709631"/>
    <n v="181100.05748220964"/>
    <n v="2558684.7595062"/>
    <n v="51287.049228406373"/>
    <n v="232387.106710616"/>
    <n v="49.40881636671849"/>
  </r>
  <r>
    <s v="000601"/>
    <s v="Lebanon Christian School"/>
    <s v="Warren"/>
    <x v="0"/>
    <n v="1"/>
    <x v="0"/>
    <n v="241"/>
    <n v="7109.5"/>
    <n v="241"/>
    <n v="1"/>
    <n v="0"/>
    <n v="7109.5"/>
    <n v="0"/>
    <n v="0"/>
    <n v="7109.5"/>
    <n v="29.5"/>
  </r>
  <r>
    <s v="044214"/>
    <s v="Lebanon City"/>
    <s v="Warren"/>
    <x v="1"/>
    <n v="1"/>
    <x v="10"/>
    <n v="5288.6972329999999"/>
    <n v="156016.56837349999"/>
    <n v="6227.6887847636199"/>
    <n v="1.1775468532977411"/>
    <n v="49593.110106462831"/>
    <n v="205609.67847996281"/>
    <n v="4106429.9370614309"/>
    <n v="82310.520494019831"/>
    <n v="287920.19897398265"/>
    <n v="54.440665874658258"/>
  </r>
  <r>
    <s v="115592"/>
    <s v="Lebanon United Methodist Kdg"/>
    <s v="Warren"/>
    <x v="0"/>
    <n v="1"/>
    <x v="0"/>
    <n v="15"/>
    <n v="442.5"/>
    <n v="15"/>
    <n v="1"/>
    <n v="0"/>
    <n v="442.5"/>
    <n v="0"/>
    <n v="0"/>
    <n v="442.5"/>
    <n v="29.5"/>
  </r>
  <r>
    <s v="143099"/>
    <s v="Liberty Bible Academy"/>
    <s v="Warren"/>
    <x v="0"/>
    <n v="1"/>
    <x v="0"/>
    <n v="257"/>
    <n v="7581.5"/>
    <n v="257"/>
    <n v="1"/>
    <n v="0"/>
    <n v="7581.5"/>
    <n v="0"/>
    <n v="0"/>
    <n v="7581.5"/>
    <n v="29.5"/>
  </r>
  <r>
    <s v="050443"/>
    <s v="Little Miami Local"/>
    <s v="Warren"/>
    <x v="1"/>
    <n v="1"/>
    <x v="10"/>
    <n v="4606.3626469999999"/>
    <n v="135887.69808649999"/>
    <n v="5346.01869319873"/>
    <n v="1.160572691053851"/>
    <n v="39065.147786631846"/>
    <n v="174952.84587313182"/>
    <n v="5103648.8987506311"/>
    <n v="102299.07820502315"/>
    <n v="277251.92407815496"/>
    <n v="60.188905069973522"/>
  </r>
  <r>
    <s v="050450"/>
    <s v="Mason City"/>
    <s v="Warren"/>
    <x v="1"/>
    <n v="1"/>
    <x v="11"/>
    <n v="10095.958796000001"/>
    <n v="297830.78448200005"/>
    <n v="11661.8387545428"/>
    <n v="1.1550996780180203"/>
    <n v="82702.402435528682"/>
    <n v="380533.18691752874"/>
    <n v="7680460.0835704673"/>
    <n v="153949.45897083037"/>
    <n v="534482.64588835905"/>
    <n v="52.940256263735947"/>
  </r>
  <r>
    <s v="084202"/>
    <s v="Middletown Christian"/>
    <s v="Warren"/>
    <x v="0"/>
    <n v="1"/>
    <x v="0"/>
    <n v="420"/>
    <n v="12390"/>
    <n v="420"/>
    <n v="1"/>
    <n v="0"/>
    <n v="12390"/>
    <n v="0"/>
    <n v="0"/>
    <n v="12390"/>
    <n v="29.5"/>
  </r>
  <r>
    <s v="132282"/>
    <s v="Montessori Academy of Cincinnati"/>
    <s v="Warren"/>
    <x v="0"/>
    <n v="1"/>
    <x v="0"/>
    <n v="148"/>
    <n v="4366"/>
    <n v="156.1114"/>
    <n v="1.0548067567567567"/>
    <n v="428.40593460294451"/>
    <n v="4794.4059346029444"/>
    <n v="0"/>
    <n v="0"/>
    <n v="4794.4059346029444"/>
    <n v="32.394634693263136"/>
  </r>
  <r>
    <s v="132647"/>
    <s v="Royalmont Academy"/>
    <s v="Warren"/>
    <x v="0"/>
    <n v="1"/>
    <x v="0"/>
    <n v="136"/>
    <n v="4012"/>
    <n v="143.374"/>
    <n v="1.0542205882352942"/>
    <n v="389.45994054813093"/>
    <n v="4401.4599405481313"/>
    <n v="0"/>
    <n v="0"/>
    <n v="4401.4599405481313"/>
    <n v="32.36367603344214"/>
  </r>
  <r>
    <s v="050427"/>
    <s v="Springboro Community City"/>
    <s v="Warren"/>
    <x v="1"/>
    <n v="1"/>
    <x v="11"/>
    <n v="5832.4093940000002"/>
    <n v="172056.077123"/>
    <n v="6610.5626707105203"/>
    <n v="1.1334188367351292"/>
    <n v="41098.390139003612"/>
    <n v="213154.4672620036"/>
    <n v="4173420.8177963314"/>
    <n v="83653.30591740596"/>
    <n v="296807.77317940956"/>
    <n v="50.889392895626621"/>
  </r>
  <r>
    <s v="055004"/>
    <s v="St Francis Desales"/>
    <s v="Warren"/>
    <x v="0"/>
    <n v="1"/>
    <x v="0"/>
    <n v="155"/>
    <n v="4572.5"/>
    <n v="161.39920000000001"/>
    <n v="1.0412851612903227"/>
    <n v="337.97559690203474"/>
    <n v="4910.4755969020343"/>
    <n v="0"/>
    <n v="0"/>
    <n v="4910.4755969020343"/>
    <n v="31.680487721948609"/>
  </r>
  <r>
    <s v="096297"/>
    <s v="St Margaret Of York"/>
    <s v="Warren"/>
    <x v="0"/>
    <n v="1"/>
    <x v="0"/>
    <n v="543"/>
    <n v="16018.5"/>
    <n v="567.83420000000001"/>
    <n v="1.0457351749539594"/>
    <n v="1311.625448272363"/>
    <n v="17330.125448272363"/>
    <n v="0"/>
    <n v="0"/>
    <n v="17330.125448272363"/>
    <n v="31.915516479322953"/>
  </r>
  <r>
    <s v="055566"/>
    <s v="St Susanna"/>
    <s v="Warren"/>
    <x v="0"/>
    <n v="1"/>
    <x v="0"/>
    <n v="673"/>
    <n v="19853.5"/>
    <n v="694.54719999999998"/>
    <n v="1.0320166419019317"/>
    <n v="1138.021593569119"/>
    <n v="20991.521593569119"/>
    <n v="0"/>
    <n v="0"/>
    <n v="20991.521593569119"/>
    <n v="31.190968192524693"/>
  </r>
  <r>
    <s v="133090"/>
    <s v="The Children's Academy of Mason Inc."/>
    <s v="Warren"/>
    <x v="0"/>
    <n v="1"/>
    <x v="0"/>
    <n v="11"/>
    <n v="324.5"/>
    <n v="11"/>
    <n v="1"/>
    <n v="0"/>
    <n v="324.5"/>
    <n v="0"/>
    <n v="0"/>
    <n v="324.5"/>
    <n v="29.5"/>
  </r>
  <r>
    <s v="008096"/>
    <s v="The CinDay Academy"/>
    <s v="Warren"/>
    <x v="0"/>
    <n v="1"/>
    <x v="0"/>
    <n v="187"/>
    <n v="5516.5"/>
    <n v="199.53579999999999"/>
    <n v="1.0670363636363636"/>
    <n v="662.08189893182282"/>
    <n v="6178.5818989318232"/>
    <n v="0"/>
    <n v="0"/>
    <n v="6178.5818989318232"/>
    <n v="33.040544914073919"/>
  </r>
  <r>
    <s v="009124"/>
    <s v="The Goddard School "/>
    <s v="Warren"/>
    <x v="0"/>
    <n v="1"/>
    <x v="0"/>
    <n v="25"/>
    <n v="737.5"/>
    <n v="25"/>
    <n v="1"/>
    <n v="0"/>
    <n v="737.5"/>
    <n v="0"/>
    <n v="0"/>
    <n v="737.5"/>
    <n v="29.5"/>
  </r>
  <r>
    <s v="121277"/>
    <s v="Village Christian Schools"/>
    <s v="Warren"/>
    <x v="0"/>
    <n v="1"/>
    <x v="0"/>
    <n v="24"/>
    <n v="708"/>
    <n v="24"/>
    <n v="1"/>
    <n v="0"/>
    <n v="708"/>
    <n v="0"/>
    <n v="0"/>
    <n v="708"/>
    <n v="29.5"/>
  </r>
  <r>
    <s v="051474"/>
    <s v="Warren County Vocational School"/>
    <s v="Warren"/>
    <x v="3"/>
    <n v="1"/>
    <x v="4"/>
    <n v="1097.838305"/>
    <n v="32386.229997499999"/>
    <n v="1392.2259099627099"/>
    <n v="1.2681520617580473"/>
    <n v="15548.16641265036"/>
    <n v="47934.396410150359"/>
    <n v="0"/>
    <n v="0"/>
    <n v="47934.396410150359"/>
    <n v="43.66252861813777"/>
  </r>
  <r>
    <s v="050468"/>
    <s v="Wayne Local"/>
    <s v="Warren"/>
    <x v="1"/>
    <n v="1"/>
    <x v="7"/>
    <n v="1388.946561"/>
    <n v="40973.923549499996"/>
    <n v="1530.55637728441"/>
    <n v="1.101954834160398"/>
    <n v="7479.1633619688255"/>
    <n v="48453.086911468825"/>
    <n v="795816.1907539526"/>
    <n v="15951.579810807838"/>
    <n v="64404.666722276663"/>
    <n v="46.369434599346448"/>
  </r>
  <r>
    <s v="043604"/>
    <s v="Belpre City"/>
    <s v="Washington"/>
    <x v="1"/>
    <n v="1"/>
    <x v="6"/>
    <n v="963.93022199999996"/>
    <n v="28435.941548999999"/>
    <n v="1188.36983962371"/>
    <n v="1.2328380338133127"/>
    <n v="11853.843251474835"/>
    <n v="40289.784800474838"/>
    <n v="437278.45111038245"/>
    <n v="8764.9411930477909"/>
    <n v="49054.725993522632"/>
    <n v="50.890328857769369"/>
  </r>
  <r>
    <s v="050484"/>
    <s v="Fort Frye Local"/>
    <s v="Washington"/>
    <x v="1"/>
    <n v="1"/>
    <x v="1"/>
    <n v="965.25508600000001"/>
    <n v="28475.025036999999"/>
    <n v="1176.55649877768"/>
    <n v="1.2189073291012733"/>
    <n v="11159.94516654887"/>
    <n v="39634.970203548874"/>
    <n v="1351959.4937320133"/>
    <n v="27099.083954065001"/>
    <n v="66734.054157613878"/>
    <n v="69.136184958277312"/>
  </r>
  <r>
    <s v="050492"/>
    <s v="Frontier Local"/>
    <s v="Washington"/>
    <x v="1"/>
    <n v="1"/>
    <x v="3"/>
    <n v="581.527241"/>
    <n v="17155.053609499999"/>
    <n v="686.48188196137596"/>
    <n v="1.1804810395139786"/>
    <n v="5543.2096866107859"/>
    <n v="22698.263296110785"/>
    <n v="1006451.002867157"/>
    <n v="20173.607529513942"/>
    <n v="42871.870825624726"/>
    <n v="73.72289344846827"/>
  </r>
  <r>
    <s v="044321"/>
    <s v="Marietta City"/>
    <s v="Washington"/>
    <x v="1"/>
    <n v="1"/>
    <x v="7"/>
    <n v="2508.3153910000001"/>
    <n v="73995.304034500004"/>
    <n v="3059.6248865450302"/>
    <n v="1.2197927332117662"/>
    <n v="29117.570295441776"/>
    <n v="103112.87432994178"/>
    <n v="1347155.2547561033"/>
    <n v="27002.786338679947"/>
    <n v="130115.66066862173"/>
    <n v="51.873724147882378"/>
  </r>
  <r>
    <s v="017510"/>
    <s v="Oak Grove Christian"/>
    <s v="Washington"/>
    <x v="0"/>
    <n v="1"/>
    <x v="0"/>
    <n v="64"/>
    <n v="1888"/>
    <n v="65.537399999999991"/>
    <n v="1.0240218749999999"/>
    <n v="81.198225196459646"/>
    <n v="1969.1982251964596"/>
    <n v="0"/>
    <n v="0"/>
    <n v="1969.1982251964596"/>
    <n v="30.768722268694681"/>
  </r>
  <r>
    <s v="058339"/>
    <s v="St John"/>
    <s v="Washington"/>
    <x v="0"/>
    <n v="1"/>
    <x v="0"/>
    <n v="88"/>
    <n v="2596"/>
    <n v="93.724400000000003"/>
    <n v="1.0650500000000001"/>
    <n v="302.33583993405523"/>
    <n v="2898.335839934055"/>
    <n v="0"/>
    <n v="0"/>
    <n v="2898.335839934055"/>
    <n v="32.935634544705174"/>
  </r>
  <r>
    <s v="058388"/>
    <s v="St Mary"/>
    <s v="Washington"/>
    <x v="0"/>
    <n v="1"/>
    <x v="0"/>
    <n v="133"/>
    <n v="3923.5"/>
    <n v="142.94880000000001"/>
    <n v="1.0748030075187971"/>
    <n v="525.44874647752238"/>
    <n v="4448.948746477522"/>
    <n v="0"/>
    <n v="0"/>
    <n v="4448.948746477522"/>
    <n v="33.45074245471821"/>
  </r>
  <r>
    <s v="050500"/>
    <s v="Warren Local"/>
    <s v="Washington"/>
    <x v="1"/>
    <n v="1"/>
    <x v="1"/>
    <n v="2012.113711"/>
    <n v="59357.354474499996"/>
    <n v="2336.2140634412699"/>
    <n v="1.1610745708204511"/>
    <n v="17117.453755547242"/>
    <n v="76474.808230047231"/>
    <n v="3503307.1169966725"/>
    <n v="70221.344737407228"/>
    <n v="146696.15296745446"/>
    <n v="72.906492394283205"/>
  </r>
  <r>
    <n v="66274"/>
    <s v="Washington Co Bd of DD"/>
    <s v="Washington"/>
    <x v="2"/>
    <n v="1"/>
    <x v="2"/>
    <n v="40.900000000000006"/>
    <n v="1206.5500000000002"/>
    <n v="189.80258000000003"/>
    <n v="4.6406498777506116"/>
    <n v="7864.3327846844813"/>
    <n v="9070.8827846844815"/>
    <n v="0"/>
    <n v="0"/>
    <n v="9070.8827846844815"/>
    <n v="221.78197517565965"/>
  </r>
  <r>
    <s v="051698"/>
    <s v="Washington County Career Center"/>
    <s v="Washington"/>
    <x v="3"/>
    <n v="1"/>
    <x v="4"/>
    <n v="447.91798699999998"/>
    <n v="13213.580616499999"/>
    <n v="566.72320463164203"/>
    <n v="1.2652387737928508"/>
    <n v="6274.7318952572687"/>
    <n v="19488.312511757267"/>
    <n v="0"/>
    <n v="0"/>
    <n v="19488.312511757267"/>
    <n v="43.508662472528187"/>
  </r>
  <r>
    <s v="050518"/>
    <s v="Wolf Creek Local"/>
    <s v="Washington"/>
    <x v="1"/>
    <n v="1"/>
    <x v="1"/>
    <n v="603.68192799999997"/>
    <n v="17808.616876"/>
    <n v="745.12885933077905"/>
    <n v="1.2343070494082755"/>
    <n v="7470.5605460809356"/>
    <n v="25279.177422080935"/>
    <n v="601494.7572791581"/>
    <n v="12056.542374980983"/>
    <n v="37335.719797061916"/>
    <n v="61.846674656561724"/>
  </r>
  <r>
    <s v="012501"/>
    <s v="Beacon Hill Academy"/>
    <s v="Wayne"/>
    <x v="4"/>
    <n v="1"/>
    <x v="8"/>
    <n v="57.017623"/>
    <n v="1682.0198785"/>
    <n v="61.1140628691263"/>
    <n v="1.0718451533682192"/>
    <n v="216.35465526022824"/>
    <n v="1898.3745337602281"/>
    <n v="0"/>
    <n v="0"/>
    <n v="1898.3745337602281"/>
    <n v="33.294522533151337"/>
  </r>
  <r>
    <s v="052860"/>
    <s v="Central Christian"/>
    <s v="Wayne"/>
    <x v="0"/>
    <n v="1"/>
    <x v="0"/>
    <n v="271"/>
    <n v="7994.5"/>
    <n v="282.06099999999998"/>
    <n v="1.0408154981549815"/>
    <n v="584.18991082219577"/>
    <n v="8578.6899108221951"/>
    <n v="0"/>
    <n v="0"/>
    <n v="8578.6899108221951"/>
    <n v="31.655682327757177"/>
  </r>
  <r>
    <s v="050534"/>
    <s v="Chippewa Local"/>
    <s v="Wayne"/>
    <x v="1"/>
    <n v="1"/>
    <x v="7"/>
    <n v="1280.7440240000001"/>
    <n v="37781.948708000004"/>
    <n v="1482.0190227549499"/>
    <n v="1.1571547436359146"/>
    <n v="10630.397213036065"/>
    <n v="48412.345921036067"/>
    <n v="648297.28729134495"/>
    <n v="12994.666406021148"/>
    <n v="61407.012327057215"/>
    <n v="47.94635866054778"/>
  </r>
  <r>
    <s v="050542"/>
    <s v="Dalton Local"/>
    <s v="Wayne"/>
    <x v="1"/>
    <n v="1"/>
    <x v="7"/>
    <n v="842.54140800000005"/>
    <n v="24854.971536000001"/>
    <n v="987.89341050019004"/>
    <n v="1.1725161530579515"/>
    <n v="7676.8080081741"/>
    <n v="32531.7795441741"/>
    <n v="615529.8216003339"/>
    <n v="12337.865438359417"/>
    <n v="44869.644982533515"/>
    <n v="53.255121417763618"/>
  </r>
  <r>
    <s v="050559"/>
    <s v="Green Local"/>
    <s v="Wayne"/>
    <x v="1"/>
    <n v="1"/>
    <x v="7"/>
    <n v="1032.3685849999999"/>
    <n v="30454.873257499999"/>
    <n v="1145.4052180170199"/>
    <n v="1.1094925152309048"/>
    <n v="5970.06243213582"/>
    <n v="36424.935689635822"/>
    <n v="889652.05479323212"/>
    <n v="17832.454178192333"/>
    <n v="54257.389867828155"/>
    <n v="52.556219412496127"/>
  </r>
  <r>
    <s v="115535"/>
    <s v="Kingsway Christian"/>
    <s v="Wayne"/>
    <x v="0"/>
    <n v="1"/>
    <x v="0"/>
    <n v="117"/>
    <n v="3451.5"/>
    <n v="117"/>
    <n v="1"/>
    <n v="0"/>
    <n v="3451.5"/>
    <n v="0"/>
    <n v="0"/>
    <n v="3451.5"/>
    <n v="29.5"/>
  </r>
  <r>
    <s v="013962"/>
    <s v="Liberty Preparatory School"/>
    <s v="Wayne"/>
    <x v="4"/>
    <n v="1"/>
    <x v="8"/>
    <n v="62.565283999999998"/>
    <n v="1845.675878"/>
    <n v="99.342344155540104"/>
    <n v="1.5878189597211787"/>
    <n v="1942.3910580026709"/>
    <n v="3788.0669360026709"/>
    <n v="0"/>
    <n v="0"/>
    <n v="3788.0669360026709"/>
    <n v="60.545828194477167"/>
  </r>
  <r>
    <s v="132829"/>
    <s v="Montessori School of Wooster"/>
    <s v="Wayne"/>
    <x v="0"/>
    <n v="1"/>
    <x v="0"/>
    <n v="83"/>
    <n v="2448.5"/>
    <n v="86.1"/>
    <n v="1.0373493975903614"/>
    <n v="163.72739567388183"/>
    <n v="2612.2273956738818"/>
    <n v="0"/>
    <n v="0"/>
    <n v="2612.2273956738818"/>
    <n v="31.472619224986527"/>
  </r>
  <r>
    <s v="050575"/>
    <s v="Northwestern Local"/>
    <s v="Wayne"/>
    <x v="1"/>
    <n v="1"/>
    <x v="1"/>
    <n v="1331.2687020000001"/>
    <n v="39272.426708999999"/>
    <n v="1530.6926396981601"/>
    <n v="1.1497999144714814"/>
    <n v="10532.632888500084"/>
    <n v="49805.059597500083"/>
    <n v="1298662.568507039"/>
    <n v="26030.784306138274"/>
    <n v="75835.843903638364"/>
    <n v="56.965091862903542"/>
  </r>
  <r>
    <s v="050567"/>
    <s v="Norwayne Local"/>
    <s v="Wayne"/>
    <x v="1"/>
    <n v="1"/>
    <x v="7"/>
    <n v="1406.9006139999999"/>
    <n v="41503.568112999994"/>
    <n v="1605.2266814208101"/>
    <n v="1.1409666506981924"/>
    <n v="10474.648552597424"/>
    <n v="51978.216665597414"/>
    <n v="1215010.144418359"/>
    <n v="24354.029881283048"/>
    <n v="76332.246546880458"/>
    <n v="54.255606819203834"/>
  </r>
  <r>
    <s v="044610"/>
    <s v="Orrville City"/>
    <s v="Wayne"/>
    <x v="1"/>
    <n v="1"/>
    <x v="6"/>
    <n v="1564.0098889999999"/>
    <n v="46138.291725499999"/>
    <n v="1877.11302476227"/>
    <n v="1.2001925550243564"/>
    <n v="16536.632579252397"/>
    <n v="62674.924304752392"/>
    <n v="523192.08604628989"/>
    <n v="10487.020010291219"/>
    <n v="73161.944315043613"/>
    <n v="46.778440999386554"/>
  </r>
  <r>
    <s v="000640"/>
    <s v="Rittman Academy"/>
    <s v="Wayne"/>
    <x v="4"/>
    <n v="1"/>
    <x v="8"/>
    <n v="32.317577999999997"/>
    <n v="953.36855099999991"/>
    <n v="37.699280931119397"/>
    <n v="1.1665255648526445"/>
    <n v="284.23619522667002"/>
    <n v="1237.6047462266699"/>
    <n v="0"/>
    <n v="0"/>
    <n v="1237.6047462266699"/>
    <n v="38.295095821434082"/>
  </r>
  <r>
    <s v="045591"/>
    <s v="Rittman Exempted Village"/>
    <s v="Wayne"/>
    <x v="1"/>
    <n v="1"/>
    <x v="1"/>
    <n v="961.21307300000001"/>
    <n v="28355.785653499999"/>
    <n v="1151.8743463731601"/>
    <n v="1.1983548483980722"/>
    <n v="10069.830240404381"/>
    <n v="38425.615893904382"/>
    <n v="342553.14256523061"/>
    <n v="6866.2385316582886"/>
    <n v="45291.854425562669"/>
    <n v="47.119474024842638"/>
  </r>
  <r>
    <s v="050583"/>
    <s v="Southeast Local"/>
    <s v="Wayne"/>
    <x v="1"/>
    <n v="1"/>
    <x v="1"/>
    <n v="1350.2197980000001"/>
    <n v="39831.484041000003"/>
    <n v="1662.8189427222401"/>
    <n v="1.2315172279248716"/>
    <n v="16510.01414685656"/>
    <n v="56341.49818785656"/>
    <n v="1773880.8491853171"/>
    <n v="35556.202888804604"/>
    <n v="91897.701076661164"/>
    <n v="68.061289882420425"/>
  </r>
  <r>
    <s v="057562"/>
    <s v="St Mary Immaculate Conception"/>
    <s v="Wayne"/>
    <x v="0"/>
    <n v="1"/>
    <x v="0"/>
    <n v="102"/>
    <n v="3009"/>
    <n v="105.1122"/>
    <n v="1.0305117647058823"/>
    <n v="164.3717421987923"/>
    <n v="3173.3717421987922"/>
    <n v="0"/>
    <n v="0"/>
    <n v="3173.3717421987922"/>
    <n v="31.111487668615609"/>
  </r>
  <r>
    <s v="057257"/>
    <s v="Sts Peter And Paul"/>
    <s v="Wayne"/>
    <x v="0"/>
    <n v="1"/>
    <x v="0"/>
    <n v="54"/>
    <n v="1593"/>
    <n v="62.136600000000001"/>
    <n v="1.1506777777777779"/>
    <n v="429.73687988390623"/>
    <n v="2022.7368798839061"/>
    <n v="0"/>
    <n v="0"/>
    <n v="2022.7368798839061"/>
    <n v="37.458090368220482"/>
  </r>
  <r>
    <s v="050591"/>
    <s v="Triway Local"/>
    <s v="Wayne"/>
    <x v="1"/>
    <n v="1"/>
    <x v="7"/>
    <n v="1571.120457"/>
    <n v="46348.053481499999"/>
    <n v="1811.6425921023799"/>
    <n v="1.1530895572206148"/>
    <n v="12703.246058785255"/>
    <n v="59051.299540285254"/>
    <n v="1439821.7685562344"/>
    <n v="28860.221897099156"/>
    <n v="87911.521437384406"/>
    <n v="55.954666649334072"/>
  </r>
  <r>
    <n v="71191"/>
    <s v="Wayne Co Bd Of DD"/>
    <s v="Wayne"/>
    <x v="2"/>
    <n v="1"/>
    <x v="2"/>
    <n v="26.19"/>
    <n v="772.60500000000002"/>
    <n v="122.20201800000001"/>
    <n v="4.6659800687285227"/>
    <n v="5070.9024711399661"/>
    <n v="5843.5074711399666"/>
    <n v="0"/>
    <n v="0"/>
    <n v="5843.5074711399666"/>
    <n v="223.11979653073564"/>
  </r>
  <r>
    <s v="051714"/>
    <s v="Wayne County JVSD"/>
    <s v="Wayne"/>
    <x v="3"/>
    <n v="1"/>
    <x v="4"/>
    <n v="748.46467199999995"/>
    <n v="22079.707823999997"/>
    <n v="1038.8423601173199"/>
    <n v="1.3879644544095731"/>
    <n v="15336.381495887606"/>
    <n v="37416.0893198876"/>
    <n v="0"/>
    <n v="0"/>
    <n v="37416.0893198876"/>
    <n v="49.990454753070303"/>
  </r>
  <r>
    <s v="110031"/>
    <s v="Wooster Christian"/>
    <s v="Wayne"/>
    <x v="0"/>
    <n v="1"/>
    <x v="0"/>
    <n v="116"/>
    <n v="3422"/>
    <n v="124.015"/>
    <n v="1.0690948275862069"/>
    <n v="423.3145407503759"/>
    <n v="3845.3145407503757"/>
    <n v="0"/>
    <n v="0"/>
    <n v="3845.3145407503757"/>
    <n v="33.149263282330828"/>
  </r>
  <r>
    <s v="045120"/>
    <s v="Wooster City"/>
    <s v="Wayne"/>
    <x v="1"/>
    <n v="1"/>
    <x v="6"/>
    <n v="3428.6994759999998"/>
    <n v="101146.634542"/>
    <n v="4296.4822673318804"/>
    <n v="1.2530938617998262"/>
    <n v="45832.198850122804"/>
    <n v="146978.83339212282"/>
    <n v="1575083.5917491496"/>
    <n v="31571.450687220942"/>
    <n v="178550.28407934375"/>
    <n v="52.075221327838463"/>
  </r>
  <r>
    <s v="043679"/>
    <s v="Bryan City"/>
    <s v="Williams"/>
    <x v="1"/>
    <n v="1"/>
    <x v="6"/>
    <n v="1916.5977049999999"/>
    <n v="56539.6322975"/>
    <n v="2382.7321376315199"/>
    <n v="1.2432093242183653"/>
    <n v="24619.02473828433"/>
    <n v="81158.65703578433"/>
    <n v="968550.70253683312"/>
    <n v="19413.922475858548"/>
    <n v="100572.57951164288"/>
    <n v="52.474538213872528"/>
  </r>
  <r>
    <s v="050617"/>
    <s v="Edgerton Local"/>
    <s v="Williams"/>
    <x v="1"/>
    <n v="1"/>
    <x v="1"/>
    <n v="566.30803000000003"/>
    <n v="16706.086885000001"/>
    <n v="629.41686862383699"/>
    <n v="1.1114390672225449"/>
    <n v="3333.1115457690735"/>
    <n v="20039.198430769073"/>
    <n v="316464.90968740388"/>
    <n v="6343.3181215076265"/>
    <n v="26382.516552276698"/>
    <n v="46.58686643075977"/>
  </r>
  <r>
    <s v="050625"/>
    <s v="Edon Northwest Local"/>
    <s v="Williams"/>
    <x v="1"/>
    <n v="1"/>
    <x v="1"/>
    <n v="478.01229699999999"/>
    <n v="14101.3627615"/>
    <n v="567.60392657802299"/>
    <n v="1.1874253657077425"/>
    <n v="4731.8078016093077"/>
    <n v="18833.170563109306"/>
    <n v="565770.31985180918"/>
    <n v="11340.47097377126"/>
    <n v="30173.641536880568"/>
    <n v="63.123149187269902"/>
  </r>
  <r>
    <s v="014140"/>
    <s v="Fountain City Christian School"/>
    <s v="Williams"/>
    <x v="0"/>
    <n v="1"/>
    <x v="0"/>
    <n v="80"/>
    <n v="2360"/>
    <n v="80"/>
    <n v="1"/>
    <n v="0"/>
    <n v="2360"/>
    <n v="0"/>
    <n v="0"/>
    <n v="2360"/>
    <n v="29.5"/>
  </r>
  <r>
    <s v="050633"/>
    <s v="Millcreek-West Unity Local"/>
    <s v="Williams"/>
    <x v="1"/>
    <n v="1"/>
    <x v="1"/>
    <n v="504.098253"/>
    <n v="14870.8984635"/>
    <n v="611.363976093014"/>
    <n v="1.2127873335300252"/>
    <n v="5665.2701571274119"/>
    <n v="20536.16862062741"/>
    <n v="367586.89980047807"/>
    <n v="7368.022713912882"/>
    <n v="27904.191334540294"/>
    <n v="55.354667802310942"/>
  </r>
  <r>
    <s v="045526"/>
    <s v="Montpelier Exempted Village"/>
    <s v="Williams"/>
    <x v="1"/>
    <n v="1"/>
    <x v="1"/>
    <n v="878.96837200000004"/>
    <n v="25929.566974000001"/>
    <n v="1050.7909545217899"/>
    <n v="1.1954820992373429"/>
    <n v="9074.8593400817263"/>
    <n v="35004.426314081727"/>
    <n v="742364.85757955443"/>
    <n v="14880.185163360777"/>
    <n v="49884.611477442508"/>
    <n v="56.753590989781948"/>
  </r>
  <r>
    <s v="050641"/>
    <s v="North Central Local"/>
    <s v="Williams"/>
    <x v="1"/>
    <n v="1"/>
    <x v="1"/>
    <n v="574.89871100000005"/>
    <n v="16959.511974500001"/>
    <n v="678.94883675225401"/>
    <n v="1.1809886224501449"/>
    <n v="5495.4374545020892"/>
    <n v="22454.949429002088"/>
    <n v="638789.93010416441"/>
    <n v="12804.098070363782"/>
    <n v="35259.047499365872"/>
    <n v="61.330886336542626"/>
  </r>
  <r>
    <s v="059170"/>
    <s v="St Mary"/>
    <s v="Williams"/>
    <x v="0"/>
    <n v="1"/>
    <x v="0"/>
    <n v="76"/>
    <n v="2242"/>
    <n v="82.186999999999998"/>
    <n v="1.0814078947368422"/>
    <n v="326.76819259171236"/>
    <n v="2568.7681925917122"/>
    <n v="0"/>
    <n v="0"/>
    <n v="2568.7681925917122"/>
    <n v="33.7995814814699"/>
  </r>
  <r>
    <s v="059337"/>
    <s v="St Patrick"/>
    <s v="Williams"/>
    <x v="0"/>
    <n v="1"/>
    <x v="0"/>
    <n v="82"/>
    <n v="2419"/>
    <n v="90.373999999999995"/>
    <n v="1.1021219512195122"/>
    <n v="442.27522947518969"/>
    <n v="2861.2752294751899"/>
    <n v="0"/>
    <n v="0"/>
    <n v="2861.2752294751899"/>
    <n v="34.893600359453536"/>
  </r>
  <r>
    <s v="050658"/>
    <s v="Stryker Local"/>
    <s v="Williams"/>
    <x v="1"/>
    <n v="1"/>
    <x v="1"/>
    <n v="406.84197999999998"/>
    <n v="12001.838409999998"/>
    <n v="480.84980163358"/>
    <n v="1.1819080263879849"/>
    <n v="3908.744482439758"/>
    <n v="15910.582892439757"/>
    <n v="217566.06390405877"/>
    <n v="4360.9598206351575"/>
    <n v="20271.542713074916"/>
    <n v="49.826575696723623"/>
  </r>
  <r>
    <s v="058909"/>
    <s v="All Saints Catholic"/>
    <s v="Wood"/>
    <x v="0"/>
    <n v="1"/>
    <x v="0"/>
    <n v="136"/>
    <n v="4012"/>
    <n v="144.33659999999998"/>
    <n v="1.0612985294117645"/>
    <n v="440.29993766931671"/>
    <n v="4452.2999376693169"/>
    <n v="0"/>
    <n v="0"/>
    <n v="4452.2999376693169"/>
    <n v="32.737499541686155"/>
  </r>
  <r>
    <s v="143008"/>
    <s v="Bowling Green Christian Acdmy"/>
    <s v="Wood"/>
    <x v="0"/>
    <n v="1"/>
    <x v="0"/>
    <n v="171"/>
    <n v="5044.5"/>
    <n v="171"/>
    <n v="1"/>
    <n v="0"/>
    <n v="5044.5"/>
    <n v="0"/>
    <n v="0"/>
    <n v="5044.5"/>
    <n v="29.5"/>
  </r>
  <r>
    <s v="043638"/>
    <s v="Bowling Green City School District"/>
    <s v="Wood"/>
    <x v="1"/>
    <n v="1"/>
    <x v="10"/>
    <n v="2909.1434060000001"/>
    <n v="85819.730477000005"/>
    <n v="3642.8299208498702"/>
    <n v="1.2522001883223319"/>
    <n v="38749.865263682666"/>
    <n v="124569.59574068268"/>
    <n v="1771077.5259973889"/>
    <n v="35500.012233113921"/>
    <n v="160069.60797379661"/>
    <n v="55.022934807427845"/>
  </r>
  <r>
    <s v="050674"/>
    <s v="Eastwood Local"/>
    <s v="Wood"/>
    <x v="1"/>
    <n v="1"/>
    <x v="7"/>
    <n v="1410.4725040000001"/>
    <n v="41608.938868000005"/>
    <n v="1613.3196579134501"/>
    <n v="1.1438150359813395"/>
    <n v="10713.43104197042"/>
    <n v="52322.369909970424"/>
    <n v="1478787.7033272616"/>
    <n v="29641.266848966625"/>
    <n v="81963.636758937049"/>
    <n v="58.110765382872749"/>
  </r>
  <r>
    <s v="050682"/>
    <s v="Elmwood Local"/>
    <s v="Wood"/>
    <x v="1"/>
    <n v="1"/>
    <x v="3"/>
    <n v="1226.3809040000001"/>
    <n v="36178.236668000005"/>
    <n v="1517.98641215507"/>
    <n v="1.2377772739317456"/>
    <n v="15401.2291659318"/>
    <n v="51579.465833931805"/>
    <n v="1231285.4551448671"/>
    <n v="24680.257119451737"/>
    <n v="76259.722953383549"/>
    <n v="62.182738417283396"/>
  </r>
  <r>
    <s v="050690"/>
    <s v="Lake Local"/>
    <s v="Wood"/>
    <x v="1"/>
    <n v="1"/>
    <x v="6"/>
    <n v="1598.893546"/>
    <n v="47167.359606999999"/>
    <n v="1896.32946768993"/>
    <n v="1.1860260943788499"/>
    <n v="15709.16414133967"/>
    <n v="62876.52374833967"/>
    <n v="966123.08744502708"/>
    <n v="19365.262626590869"/>
    <n v="82241.78637493054"/>
    <n v="51.43668668916532"/>
  </r>
  <r>
    <s v="112508"/>
    <s v="Montessori School of Bowling Green"/>
    <s v="Wood"/>
    <x v="0"/>
    <n v="1"/>
    <x v="0"/>
    <n v="83"/>
    <n v="2448.5"/>
    <n v="91.848799999999997"/>
    <n v="1.106612048192771"/>
    <n v="467.3519286577573"/>
    <n v="2915.8519286577575"/>
    <n v="0"/>
    <n v="0"/>
    <n v="2915.8519286577575"/>
    <n v="35.13074612840672"/>
  </r>
  <r>
    <s v="050708"/>
    <s v="North Baltimore Local"/>
    <s v="Wood"/>
    <x v="1"/>
    <n v="1"/>
    <x v="1"/>
    <n v="604.14884199999995"/>
    <n v="17822.390839"/>
    <n v="734.75382969252905"/>
    <n v="1.2161801506730838"/>
    <n v="6897.9401602958769"/>
    <n v="24720.330999295875"/>
    <n v="339815.09210845188"/>
    <n v="6811.3562222823675"/>
    <n v="31531.687221578242"/>
    <n v="52.19191866228595"/>
  </r>
  <r>
    <s v="050716"/>
    <s v="Northwood Local Schools"/>
    <s v="Wood"/>
    <x v="1"/>
    <n v="1"/>
    <x v="6"/>
    <n v="879.47700499999996"/>
    <n v="25944.571647499997"/>
    <n v="1094.912837244"/>
    <n v="1.2449590279441132"/>
    <n v="11378.305725208222"/>
    <n v="37322.877372708215"/>
    <n v="461510.51581970713"/>
    <n v="9250.65600845667"/>
    <n v="46573.533381164889"/>
    <n v="52.955942129680686"/>
  </r>
  <r>
    <s v="050724"/>
    <s v="Otsego Local"/>
    <s v="Wood"/>
    <x v="1"/>
    <n v="1"/>
    <x v="7"/>
    <n v="1526.1373639999999"/>
    <n v="45021.052237999997"/>
    <n v="1765.0462972312901"/>
    <n v="1.1565448424675946"/>
    <n v="12618.044335865976"/>
    <n v="57639.096573865972"/>
    <n v="1608277.3647056594"/>
    <n v="32236.796686321515"/>
    <n v="89875.893260187484"/>
    <n v="58.891090265048703"/>
  </r>
  <r>
    <s v="051359"/>
    <s v="Penta Career Center - District"/>
    <s v="Wood"/>
    <x v="3"/>
    <n v="1"/>
    <x v="4"/>
    <n v="1871.35"/>
    <n v="55204.824999999997"/>
    <n v="2528.1857282280898"/>
    <n v="1.3509956599396638"/>
    <n v="34690.968763981611"/>
    <n v="89895.793763981608"/>
    <n v="0"/>
    <n v="0"/>
    <n v="89895.793763981608"/>
    <n v="48.037937191857011"/>
  </r>
  <r>
    <s v="045583"/>
    <s v="Perrysburg Exempted Village"/>
    <s v="Wood"/>
    <x v="1"/>
    <n v="1"/>
    <x v="11"/>
    <n v="5282.0796449999998"/>
    <n v="155821.34952749999"/>
    <n v="6114.0749229134299"/>
    <n v="1.1575128233253722"/>
    <n v="43942.070988946347"/>
    <n v="199763.42051644635"/>
    <n v="3194225.4834750015"/>
    <n v="64026.019230766287"/>
    <n v="263789.43974721263"/>
    <n v="49.940451010979153"/>
  </r>
  <r>
    <s v="045609"/>
    <s v="Rossford Exempted Village"/>
    <s v="Wood"/>
    <x v="1"/>
    <n v="1"/>
    <x v="7"/>
    <n v="1507.2143659999999"/>
    <n v="44462.823796999997"/>
    <n v="1742.3130762630601"/>
    <n v="1.155982264743793"/>
    <n v="12416.806308922394"/>
    <n v="56879.630105922392"/>
    <n v="832701.5224527946"/>
    <n v="16690.920527016151"/>
    <n v="73570.550632938539"/>
    <n v="48.812267380510455"/>
  </r>
  <r>
    <s v="058768"/>
    <s v="St Aloysius"/>
    <s v="Wood"/>
    <x v="0"/>
    <n v="1"/>
    <x v="0"/>
    <n v="175"/>
    <n v="5162.5"/>
    <n v="187.8862"/>
    <n v="1.0736354285714287"/>
    <n v="680.58837617186452"/>
    <n v="5843.0883761718642"/>
    <n v="0"/>
    <n v="0"/>
    <n v="5843.0883761718642"/>
    <n v="33.389076435267796"/>
  </r>
  <r>
    <s v="059139"/>
    <s v="St Louis"/>
    <s v="Wood"/>
    <x v="0"/>
    <n v="1"/>
    <x v="0"/>
    <n v="36"/>
    <n v="1062"/>
    <n v="39.0122"/>
    <n v="1.0836722222222221"/>
    <n v="159.09021330608638"/>
    <n v="1221.0902133060863"/>
    <n v="0"/>
    <n v="0"/>
    <n v="1221.0902133060863"/>
    <n v="33.919172591835732"/>
  </r>
  <r>
    <s v="059451"/>
    <s v="St Rose"/>
    <s v="Wood"/>
    <x v="0"/>
    <n v="1"/>
    <x v="0"/>
    <n v="305"/>
    <n v="8997.5"/>
    <n v="317.161"/>
    <n v="1.039872131147541"/>
    <n v="642.28672864196153"/>
    <n v="9639.7867286419623"/>
    <n v="0"/>
    <n v="0"/>
    <n v="9639.7867286419623"/>
    <n v="31.605858126694958"/>
  </r>
  <r>
    <s v="143230"/>
    <s v="The Islamic School of Greater Toledo"/>
    <s v="Wood"/>
    <x v="0"/>
    <n v="1"/>
    <x v="0"/>
    <n v="29"/>
    <n v="855.5"/>
    <n v="31.7"/>
    <n v="1.0931034482758621"/>
    <n v="142.6012801030586"/>
    <n v="998.10128010305857"/>
    <n v="0"/>
    <n v="0"/>
    <n v="998.10128010305857"/>
    <n v="34.417285520795126"/>
  </r>
  <r>
    <n v="66308"/>
    <s v="Wood County Board of DD"/>
    <s v="Wood"/>
    <x v="2"/>
    <n v="1"/>
    <x v="2"/>
    <n v="25.72"/>
    <n v="758.74"/>
    <n v="110.73760899999999"/>
    <n v="4.3055057931570762"/>
    <n v="4490.2295832227101"/>
    <n v="5248.9695832227098"/>
    <n v="0"/>
    <n v="0"/>
    <n v="5248.9695832227098"/>
    <n v="204.08124351565746"/>
  </r>
  <r>
    <s v="045260"/>
    <s v="Carey Exempted Village Schools"/>
    <s v="Wyandot"/>
    <x v="1"/>
    <n v="1"/>
    <x v="1"/>
    <n v="842.64058299999999"/>
    <n v="24857.897198499999"/>
    <n v="993.63424678218496"/>
    <n v="1.1791910653586275"/>
    <n v="7974.7739788112658"/>
    <n v="32832.671177311262"/>
    <n v="452065.02345304319"/>
    <n v="9061.3277099252318"/>
    <n v="41893.998887236492"/>
    <n v="49.717518634200999"/>
  </r>
  <r>
    <s v="050740"/>
    <s v="Mohawk Local"/>
    <s v="Wyandot"/>
    <x v="1"/>
    <n v="1"/>
    <x v="3"/>
    <n v="907.61048900000003"/>
    <n v="26774.5094255"/>
    <n v="1112.7501104077601"/>
    <n v="1.226021651241362"/>
    <n v="10834.508375038293"/>
    <n v="37609.017800538291"/>
    <n v="771958.32653123024"/>
    <n v="15473.365582841929"/>
    <n v="53082.38338338022"/>
    <n v="58.485863734195142"/>
  </r>
  <r>
    <s v="058651"/>
    <s v="Our Lady Of Consolation"/>
    <s v="Wyandot"/>
    <x v="0"/>
    <n v="1"/>
    <x v="0"/>
    <n v="166"/>
    <n v="4897"/>
    <n v="175.01140000000001"/>
    <n v="1.0542855421686748"/>
    <n v="475.93969463729775"/>
    <n v="5372.9396946372981"/>
    <n v="0"/>
    <n v="0"/>
    <n v="5372.9396946372981"/>
    <n v="32.367106594200592"/>
  </r>
  <r>
    <s v="059386"/>
    <s v="St Peter"/>
    <s v="Wyandot"/>
    <x v="0"/>
    <n v="1"/>
    <x v="0"/>
    <n v="132"/>
    <n v="3894"/>
    <n v="138.36179999999999"/>
    <n v="1.0481954545454544"/>
    <n v="336.00030509616175"/>
    <n v="4230.0003050961614"/>
    <n v="0"/>
    <n v="0"/>
    <n v="4230.0003050961614"/>
    <n v="32.045456856789102"/>
  </r>
  <r>
    <s v="045625"/>
    <s v="Upper Sandusky Exempted Village"/>
    <s v="Wyandot"/>
    <x v="1"/>
    <n v="1"/>
    <x v="7"/>
    <n v="1551.8475800000001"/>
    <n v="45779.50361"/>
    <n v="1864.8777582181001"/>
    <n v="1.2017145125928539"/>
    <n v="16532.779305477641"/>
    <n v="62312.282915477641"/>
    <n v="1212713.333267662"/>
    <n v="24307.991905672137"/>
    <n v="86620.274821149782"/>
    <n v="55.817514514634084"/>
  </r>
  <r>
    <n v="66290"/>
    <s v="Wyandot Co Bd Of DD"/>
    <s v="Wyandot"/>
    <x v="2"/>
    <n v="1"/>
    <x v="2"/>
    <n v="6"/>
    <n v="177"/>
    <n v="25.213200000000001"/>
    <n v="4.2022000000000004"/>
    <n v="1014.7507092133652"/>
    <n v="1191.7507092133651"/>
    <n v="0"/>
    <n v="0"/>
    <n v="1191.7507092133651"/>
    <n v="198.6251182022275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8136132-C805-41DA-B36E-B319D20D3775}" name="PivotTable1" cacheId="1"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location ref="A3:J21" firstHeaderRow="0" firstDataRow="1" firstDataCol="1"/>
  <pivotFields count="19">
    <pivotField showAll="0"/>
    <pivotField showAll="0"/>
    <pivotField showAll="0"/>
    <pivotField axis="axisRow" showAll="0">
      <items count="10">
        <item x="1"/>
        <item sd="0" m="1" x="8"/>
        <item x="4"/>
        <item sd="0" x="2"/>
        <item sd="0" x="3"/>
        <item sd="0" x="0"/>
        <item m="1" x="6"/>
        <item sd="0" x="5"/>
        <item h="1" sd="0" m="1" x="7"/>
        <item t="default"/>
      </items>
    </pivotField>
    <pivotField dataField="1" showAll="0"/>
    <pivotField axis="axisRow" showAll="0" sortType="ascending">
      <items count="25">
        <item m="1" x="15"/>
        <item m="1" x="20"/>
        <item m="1" x="17"/>
        <item m="1" x="21"/>
        <item m="1" x="23"/>
        <item m="1" x="16"/>
        <item m="1" x="18"/>
        <item m="1" x="19"/>
        <item m="1" x="22"/>
        <item x="14"/>
        <item x="1"/>
        <item x="3"/>
        <item x="7"/>
        <item x="6"/>
        <item x="10"/>
        <item x="11"/>
        <item x="9"/>
        <item x="13"/>
        <item x="8"/>
        <item x="2"/>
        <item x="5"/>
        <item x="4"/>
        <item x="0"/>
        <item x="12"/>
        <item t="default"/>
      </items>
    </pivotField>
    <pivotField dataField="1" numFmtId="164" showAll="0"/>
    <pivotField dataField="1" numFmtId="164" showAll="0"/>
    <pivotField dataField="1" numFmtId="164" showAll="0"/>
    <pivotField numFmtId="9" showAll="0"/>
    <pivotField dataField="1" numFmtId="164" showAll="0"/>
    <pivotField numFmtId="164" showAll="0"/>
    <pivotField numFmtId="164" showAll="0"/>
    <pivotField dataField="1" numFmtId="164" showAll="0"/>
    <pivotField dataField="1" numFmtId="164" showAll="0"/>
    <pivotField numFmtId="164" showAll="0"/>
    <pivotField dataField="1" dragToRow="0" dragToCol="0" dragToPage="0" showAll="0" defaultSubtotal="0"/>
    <pivotField dragToRow="0" dragToCol="0" dragToPage="0" showAll="0" defaultSubtotal="0"/>
    <pivotField dataField="1" dragToRow="0" dragToCol="0" dragToPage="0" showAll="0" defaultSubtotal="0"/>
  </pivotFields>
  <rowFields count="2">
    <field x="3"/>
    <field x="5"/>
  </rowFields>
  <rowItems count="18">
    <i>
      <x/>
    </i>
    <i r="1">
      <x v="9"/>
    </i>
    <i r="1">
      <x v="10"/>
    </i>
    <i r="1">
      <x v="11"/>
    </i>
    <i r="1">
      <x v="12"/>
    </i>
    <i r="1">
      <x v="13"/>
    </i>
    <i r="1">
      <x v="14"/>
    </i>
    <i r="1">
      <x v="15"/>
    </i>
    <i r="1">
      <x v="16"/>
    </i>
    <i r="1">
      <x v="17"/>
    </i>
    <i>
      <x v="2"/>
    </i>
    <i r="1">
      <x v="18"/>
    </i>
    <i r="1">
      <x v="20"/>
    </i>
    <i>
      <x v="3"/>
    </i>
    <i>
      <x v="4"/>
    </i>
    <i>
      <x v="5"/>
    </i>
    <i>
      <x v="7"/>
    </i>
    <i t="grand">
      <x/>
    </i>
  </rowItems>
  <colFields count="1">
    <field x="-2"/>
  </colFields>
  <colItems count="9">
    <i>
      <x/>
    </i>
    <i i="1">
      <x v="1"/>
    </i>
    <i i="2">
      <x v="2"/>
    </i>
    <i i="3">
      <x v="3"/>
    </i>
    <i i="4">
      <x v="4"/>
    </i>
    <i i="5">
      <x v="5"/>
    </i>
    <i i="6">
      <x v="6"/>
    </i>
    <i i="7">
      <x v="7"/>
    </i>
    <i i="8">
      <x v="8"/>
    </i>
  </colItems>
  <dataFields count="9">
    <dataField name=" Count by Type" fld="4" baseField="2" baseItem="0"/>
    <dataField name=" Unweighted Enrollment" fld="6" baseField="2" baseItem="0"/>
    <dataField name=" Base Funding" fld="7" baseField="2" baseItem="0" numFmtId="5"/>
    <dataField name=" Weighted Enrollment" fld="8" baseField="2" baseItem="0"/>
    <dataField name=" Weighted Funding" fld="10" baseField="2" baseItem="0" numFmtId="5"/>
    <dataField name="Transportation Funding" fld="13" baseField="2" baseItem="0" numFmtId="5"/>
    <dataField name=" Total CRF Funding" fld="14" baseField="2" baseItem="0" numFmtId="5"/>
    <dataField name="Average Funding Per Pupil" fld="16" baseField="2" baseItem="0" numFmtId="5"/>
    <dataField name=" Average Funding per Entity" fld="18" baseField="2" baseItem="0" numFmtId="5"/>
  </dataFields>
  <formats count="32">
    <format dxfId="31">
      <pivotArea outline="0" collapsedLevelsAreSubtotals="1" fieldPosition="0"/>
    </format>
    <format dxfId="30">
      <pivotArea dataOnly="0" labelOnly="1" outline="0" fieldPosition="0">
        <references count="1">
          <reference field="4294967294" count="2">
            <x v="1"/>
            <x v="6"/>
          </reference>
        </references>
      </pivotArea>
    </format>
    <format dxfId="29">
      <pivotArea type="all" dataOnly="0" outline="0" fieldPosition="0"/>
    </format>
    <format dxfId="28">
      <pivotArea field="3" type="button" dataOnly="0" labelOnly="1" outline="0" axis="axisRow" fieldPosition="0"/>
    </format>
    <format dxfId="27">
      <pivotArea dataOnly="0" labelOnly="1" fieldPosition="0">
        <references count="2">
          <reference field="3" count="1" selected="0">
            <x v="6"/>
          </reference>
          <reference field="5" count="9">
            <x v="0"/>
            <x v="1"/>
            <x v="2"/>
            <x v="3"/>
            <x v="4"/>
            <x v="5"/>
            <x v="6"/>
            <x v="7"/>
            <x v="8"/>
          </reference>
        </references>
      </pivotArea>
    </format>
    <format dxfId="26">
      <pivotArea dataOnly="0" labelOnly="1" outline="0" fieldPosition="0">
        <references count="1">
          <reference field="4294967294" count="2">
            <x v="1"/>
            <x v="6"/>
          </reference>
        </references>
      </pivotArea>
    </format>
    <format dxfId="25">
      <pivotArea field="3" type="button" dataOnly="0" labelOnly="1" outline="0" axis="axisRow" fieldPosition="0"/>
    </format>
    <format dxfId="24">
      <pivotArea dataOnly="0" labelOnly="1" outline="0" fieldPosition="0">
        <references count="1">
          <reference field="4294967294" count="3">
            <x v="1"/>
            <x v="6"/>
            <x v="7"/>
          </reference>
        </references>
      </pivotArea>
    </format>
    <format dxfId="23">
      <pivotArea field="3" type="button" dataOnly="0" labelOnly="1" outline="0" axis="axisRow" fieldPosition="0"/>
    </format>
    <format dxfId="22">
      <pivotArea dataOnly="0" labelOnly="1" outline="0" fieldPosition="0">
        <references count="1">
          <reference field="4294967294" count="3">
            <x v="1"/>
            <x v="6"/>
            <x v="7"/>
          </reference>
        </references>
      </pivotArea>
    </format>
    <format dxfId="21">
      <pivotArea dataOnly="0" labelOnly="1" outline="0" fieldPosition="0">
        <references count="1">
          <reference field="4294967294" count="1">
            <x v="8"/>
          </reference>
        </references>
      </pivotArea>
    </format>
    <format dxfId="20">
      <pivotArea dataOnly="0" labelOnly="1" outline="0" fieldPosition="0">
        <references count="1">
          <reference field="4294967294" count="1">
            <x v="8"/>
          </reference>
        </references>
      </pivotArea>
    </format>
    <format dxfId="19">
      <pivotArea outline="0" collapsedLevelsAreSubtotals="1" fieldPosition="0">
        <references count="1">
          <reference field="4294967294" count="3" selected="0">
            <x v="6"/>
            <x v="7"/>
            <x v="8"/>
          </reference>
        </references>
      </pivotArea>
    </format>
    <format dxfId="18">
      <pivotArea type="all" dataOnly="0" outline="0" fieldPosition="0"/>
    </format>
    <format dxfId="17">
      <pivotArea outline="0" collapsedLevelsAreSubtotals="1" fieldPosition="0"/>
    </format>
    <format dxfId="16">
      <pivotArea field="3" type="button" dataOnly="0" labelOnly="1" outline="0" axis="axisRow" fieldPosition="0"/>
    </format>
    <format dxfId="15">
      <pivotArea dataOnly="0" labelOnly="1" fieldPosition="0">
        <references count="1">
          <reference field="3" count="0"/>
        </references>
      </pivotArea>
    </format>
    <format dxfId="14">
      <pivotArea dataOnly="0" labelOnly="1" grandRow="1" outline="0" fieldPosition="0"/>
    </format>
    <format dxfId="13">
      <pivotArea dataOnly="0" labelOnly="1" fieldPosition="0">
        <references count="2">
          <reference field="3" count="1" selected="0">
            <x v="4"/>
          </reference>
          <reference field="5" count="1">
            <x v="21"/>
          </reference>
        </references>
      </pivotArea>
    </format>
    <format dxfId="12">
      <pivotArea dataOnly="0" labelOnly="1" fieldPosition="0">
        <references count="2">
          <reference field="3" count="1" selected="0">
            <x v="6"/>
          </reference>
          <reference field="5" count="6">
            <x v="12"/>
            <x v="13"/>
            <x v="14"/>
            <x v="15"/>
            <x v="16"/>
            <x v="17"/>
          </reference>
        </references>
      </pivotArea>
    </format>
    <format dxfId="11">
      <pivotArea dataOnly="0" labelOnly="1" fieldPosition="0">
        <references count="2">
          <reference field="3" count="1" selected="0">
            <x v="7"/>
          </reference>
          <reference field="5" count="1">
            <x v="23"/>
          </reference>
        </references>
      </pivotArea>
    </format>
    <format dxfId="10">
      <pivotArea dataOnly="0" labelOnly="1" outline="0" fieldPosition="0">
        <references count="1">
          <reference field="4294967294" count="5">
            <x v="0"/>
            <x v="1"/>
            <x v="6"/>
            <x v="7"/>
            <x v="8"/>
          </reference>
        </references>
      </pivotArea>
    </format>
    <format dxfId="9">
      <pivotArea dataOnly="0" outline="0" fieldPosition="0">
        <references count="1">
          <reference field="4294967294" count="1">
            <x v="2"/>
          </reference>
        </references>
      </pivotArea>
    </format>
    <format dxfId="8">
      <pivotArea dataOnly="0" outline="0" fieldPosition="0">
        <references count="1">
          <reference field="4294967294" count="1">
            <x v="2"/>
          </reference>
        </references>
      </pivotArea>
    </format>
    <format dxfId="7">
      <pivotArea outline="0" fieldPosition="0">
        <references count="1">
          <reference field="4294967294" count="1">
            <x v="2"/>
          </reference>
        </references>
      </pivotArea>
    </format>
    <format dxfId="6">
      <pivotArea outline="0" fieldPosition="0">
        <references count="1">
          <reference field="4294967294" count="1">
            <x v="4"/>
          </reference>
        </references>
      </pivotArea>
    </format>
    <format dxfId="5">
      <pivotArea outline="0" fieldPosition="0">
        <references count="1">
          <reference field="4294967294" count="1">
            <x v="5"/>
          </reference>
        </references>
      </pivotArea>
    </format>
    <format dxfId="4">
      <pivotArea outline="0" collapsedLevelsAreSubtotals="1" fieldPosition="0">
        <references count="1">
          <reference field="4294967294" count="6" selected="0">
            <x v="2"/>
            <x v="4"/>
            <x v="5"/>
            <x v="6"/>
            <x v="7"/>
            <x v="8"/>
          </reference>
        </references>
      </pivotArea>
    </format>
    <format dxfId="3">
      <pivotArea field="3" type="button" dataOnly="0" labelOnly="1" outline="0" axis="axisRow" fieldPosition="0"/>
    </format>
    <format dxfId="2">
      <pivotArea dataOnly="0" labelOnly="1" outline="0" fieldPosition="0">
        <references count="1">
          <reference field="4294967294" count="9">
            <x v="0"/>
            <x v="1"/>
            <x v="2"/>
            <x v="3"/>
            <x v="4"/>
            <x v="5"/>
            <x v="6"/>
            <x v="7"/>
            <x v="8"/>
          </reference>
        </references>
      </pivotArea>
    </format>
    <format dxfId="1">
      <pivotArea field="3" type="button" dataOnly="0" labelOnly="1" outline="0" axis="axisRow" fieldPosition="0"/>
    </format>
    <format dxfId="0">
      <pivotArea dataOnly="0" labelOnly="1" outline="0" fieldPosition="0">
        <references count="1">
          <reference field="4294967294" count="9">
            <x v="0"/>
            <x v="1"/>
            <x v="2"/>
            <x v="3"/>
            <x v="4"/>
            <x v="5"/>
            <x v="6"/>
            <x v="7"/>
            <x v="8"/>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245BF0-B052-4168-92A3-9E52C85BEC2C}">
  <dimension ref="A1:B27"/>
  <sheetViews>
    <sheetView tabSelected="1" workbookViewId="0"/>
  </sheetViews>
  <sheetFormatPr baseColWidth="10" defaultColWidth="8.796875" defaultRowHeight="15"/>
  <cols>
    <col min="1" max="1" width="98.19921875" style="3" customWidth="1"/>
    <col min="2" max="16384" width="8.796875" style="3"/>
  </cols>
  <sheetData>
    <row r="1" spans="1:2" ht="16">
      <c r="A1" s="78" t="s">
        <v>3378</v>
      </c>
    </row>
    <row r="3" spans="1:2" ht="32">
      <c r="A3" s="78" t="s">
        <v>3366</v>
      </c>
      <c r="B3" s="79"/>
    </row>
    <row r="4" spans="1:2">
      <c r="A4" s="80"/>
      <c r="B4" s="79"/>
    </row>
    <row r="5" spans="1:2" ht="80">
      <c r="A5" s="85" t="s">
        <v>3380</v>
      </c>
      <c r="B5" s="79"/>
    </row>
    <row r="6" spans="1:2">
      <c r="A6" s="81"/>
      <c r="B6" s="79"/>
    </row>
    <row r="7" spans="1:2" ht="64">
      <c r="A7" s="78" t="s">
        <v>3379</v>
      </c>
      <c r="B7" s="79"/>
    </row>
    <row r="8" spans="1:2">
      <c r="A8" s="81"/>
      <c r="B8" s="79"/>
    </row>
    <row r="9" spans="1:2" ht="16">
      <c r="A9" s="81" t="s">
        <v>3363</v>
      </c>
      <c r="B9" s="79"/>
    </row>
    <row r="10" spans="1:2" ht="16">
      <c r="A10" s="82" t="s">
        <v>3367</v>
      </c>
      <c r="B10" s="79"/>
    </row>
    <row r="11" spans="1:2" ht="16">
      <c r="A11" s="82" t="s">
        <v>3368</v>
      </c>
      <c r="B11" s="79"/>
    </row>
    <row r="12" spans="1:2" ht="16">
      <c r="A12" s="82" t="s">
        <v>3369</v>
      </c>
      <c r="B12" s="79"/>
    </row>
    <row r="13" spans="1:2" ht="16">
      <c r="A13" s="82" t="s">
        <v>3370</v>
      </c>
      <c r="B13" s="79"/>
    </row>
    <row r="14" spans="1:2" ht="16">
      <c r="A14" s="82" t="s">
        <v>3371</v>
      </c>
      <c r="B14" s="79"/>
    </row>
    <row r="15" spans="1:2" ht="16">
      <c r="A15" s="82" t="s">
        <v>3372</v>
      </c>
      <c r="B15" s="79"/>
    </row>
    <row r="16" spans="1:2">
      <c r="A16" s="80"/>
      <c r="B16" s="79"/>
    </row>
    <row r="17" spans="1:2" ht="16">
      <c r="A17" s="83" t="s">
        <v>3373</v>
      </c>
      <c r="B17" s="79"/>
    </row>
    <row r="18" spans="1:2" ht="128">
      <c r="A18" s="84" t="s">
        <v>3365</v>
      </c>
      <c r="B18" s="79"/>
    </row>
    <row r="19" spans="1:2" ht="16">
      <c r="A19" s="84" t="s">
        <v>3362</v>
      </c>
      <c r="B19" s="79"/>
    </row>
    <row r="20" spans="1:2" ht="16">
      <c r="A20" s="83" t="s">
        <v>3374</v>
      </c>
      <c r="B20" s="79"/>
    </row>
    <row r="21" spans="1:2" ht="224">
      <c r="A21" s="84" t="s">
        <v>3377</v>
      </c>
      <c r="B21" s="79"/>
    </row>
    <row r="22" spans="1:2">
      <c r="A22" s="81"/>
      <c r="B22" s="79"/>
    </row>
    <row r="23" spans="1:2" ht="16">
      <c r="A23" s="83" t="s">
        <v>3375</v>
      </c>
      <c r="B23" s="79"/>
    </row>
    <row r="24" spans="1:2" ht="96">
      <c r="A24" s="84" t="s">
        <v>3364</v>
      </c>
      <c r="B24" s="79"/>
    </row>
    <row r="25" spans="1:2">
      <c r="A25" s="80"/>
      <c r="B25" s="79"/>
    </row>
    <row r="26" spans="1:2" ht="80">
      <c r="A26" s="80" t="s">
        <v>3376</v>
      </c>
      <c r="B26" s="79"/>
    </row>
    <row r="27" spans="1:2">
      <c r="A27" s="81"/>
      <c r="B27" s="7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5EF39C-B0EA-4BC6-B033-1A65D539D664}">
  <dimension ref="A3:L1000"/>
  <sheetViews>
    <sheetView workbookViewId="0">
      <selection activeCell="A28" sqref="A28"/>
    </sheetView>
  </sheetViews>
  <sheetFormatPr baseColWidth="10" defaultColWidth="8.796875" defaultRowHeight="14"/>
  <cols>
    <col min="1" max="1" width="30.19921875" style="2" bestFit="1" customWidth="1"/>
    <col min="2" max="2" width="8.3984375" style="8" bestFit="1" customWidth="1"/>
    <col min="3" max="3" width="11.59765625" style="8" bestFit="1" customWidth="1"/>
    <col min="4" max="4" width="11.796875" style="2" bestFit="1" customWidth="1"/>
    <col min="5" max="5" width="10" style="2" bestFit="1" customWidth="1"/>
    <col min="6" max="6" width="11.3984375" style="2" bestFit="1" customWidth="1"/>
    <col min="7" max="7" width="12.59765625" style="2" bestFit="1" customWidth="1"/>
    <col min="8" max="8" width="12.3984375" style="2" bestFit="1" customWidth="1"/>
    <col min="9" max="10" width="10.3984375" style="2" bestFit="1" customWidth="1"/>
    <col min="11" max="11" width="10.3984375" style="59" bestFit="1" customWidth="1"/>
    <col min="12" max="12" width="8.796875" style="59"/>
    <col min="13" max="16384" width="8.796875" style="2"/>
  </cols>
  <sheetData>
    <row r="3" spans="1:12" s="6" customFormat="1" ht="43.25" customHeight="1">
      <c r="A3" s="14" t="s">
        <v>1898</v>
      </c>
      <c r="B3" s="6" t="s">
        <v>3247</v>
      </c>
      <c r="C3" s="15" t="s">
        <v>3221</v>
      </c>
      <c r="D3" s="6" t="s">
        <v>3268</v>
      </c>
      <c r="E3" s="6" t="s">
        <v>3246</v>
      </c>
      <c r="F3" s="6" t="s">
        <v>3269</v>
      </c>
      <c r="G3" s="6" t="s">
        <v>3270</v>
      </c>
      <c r="H3" s="15" t="s">
        <v>1900</v>
      </c>
      <c r="I3" s="6" t="s">
        <v>3272</v>
      </c>
      <c r="J3" s="6" t="s">
        <v>3271</v>
      </c>
      <c r="K3" s="60"/>
      <c r="L3" s="58"/>
    </row>
    <row r="4" spans="1:12">
      <c r="A4" s="11" t="s">
        <v>3248</v>
      </c>
      <c r="B4" s="13">
        <v>609</v>
      </c>
      <c r="C4" s="13">
        <v>1553949.4124199999</v>
      </c>
      <c r="D4" s="50">
        <v>45841507.666390002</v>
      </c>
      <c r="E4" s="13">
        <v>1959407.400205926</v>
      </c>
      <c r="F4" s="51">
        <v>21414380.772697542</v>
      </c>
      <c r="G4" s="51">
        <v>20712716.798703138</v>
      </c>
      <c r="H4" s="51">
        <v>87968605.237790674</v>
      </c>
      <c r="I4" s="51">
        <v>56.609696901777021</v>
      </c>
      <c r="J4" s="51">
        <v>144447.6276482605</v>
      </c>
      <c r="K4" s="60"/>
    </row>
    <row r="5" spans="1:12">
      <c r="A5" s="12" t="s">
        <v>3260</v>
      </c>
      <c r="B5" s="13">
        <v>3</v>
      </c>
      <c r="C5" s="13">
        <v>182.00444899999999</v>
      </c>
      <c r="D5" s="50">
        <v>5369.1312454999997</v>
      </c>
      <c r="E5" s="13">
        <v>205.39334145499998</v>
      </c>
      <c r="F5" s="51">
        <v>1235.2911126947297</v>
      </c>
      <c r="G5" s="51">
        <v>0</v>
      </c>
      <c r="H5" s="51">
        <v>6604.4223581947299</v>
      </c>
      <c r="I5" s="51">
        <v>36.287147893811813</v>
      </c>
      <c r="J5" s="51">
        <v>2201.4741193982431</v>
      </c>
      <c r="K5" s="60"/>
    </row>
    <row r="6" spans="1:12">
      <c r="A6" s="12" t="s">
        <v>3223</v>
      </c>
      <c r="B6" s="13">
        <v>123</v>
      </c>
      <c r="C6" s="13">
        <v>147914.23244699999</v>
      </c>
      <c r="D6" s="50">
        <v>4363469.8571865009</v>
      </c>
      <c r="E6" s="13">
        <v>184759.29238749485</v>
      </c>
      <c r="F6" s="51">
        <v>1945982.4862920351</v>
      </c>
      <c r="G6" s="51">
        <v>3188155.7026739065</v>
      </c>
      <c r="H6" s="51">
        <v>9497608.046152439</v>
      </c>
      <c r="I6" s="51">
        <v>64.210237845472932</v>
      </c>
      <c r="J6" s="51">
        <v>77216.325578475109</v>
      </c>
      <c r="K6" s="60"/>
    </row>
    <row r="7" spans="1:12">
      <c r="A7" s="12" t="s">
        <v>3224</v>
      </c>
      <c r="B7" s="13">
        <v>106</v>
      </c>
      <c r="C7" s="13">
        <v>97810.529247000042</v>
      </c>
      <c r="D7" s="50">
        <v>2885410.6127864998</v>
      </c>
      <c r="E7" s="13">
        <v>117828.31383413638</v>
      </c>
      <c r="F7" s="51">
        <v>1057245.0766492293</v>
      </c>
      <c r="G7" s="51">
        <v>1988675.4374936817</v>
      </c>
      <c r="H7" s="51">
        <v>5931331.1269294107</v>
      </c>
      <c r="I7" s="51">
        <v>60.641028860513309</v>
      </c>
      <c r="J7" s="51">
        <v>55955.954027635948</v>
      </c>
      <c r="K7" s="60"/>
    </row>
    <row r="8" spans="1:12">
      <c r="A8" s="12" t="s">
        <v>1904</v>
      </c>
      <c r="B8" s="13">
        <v>110</v>
      </c>
      <c r="C8" s="13">
        <v>171050.93984200005</v>
      </c>
      <c r="D8" s="50">
        <v>5046002.725339002</v>
      </c>
      <c r="E8" s="13">
        <v>201187.12627285207</v>
      </c>
      <c r="F8" s="51">
        <v>1591651.393505163</v>
      </c>
      <c r="G8" s="51">
        <v>2564820.2195741213</v>
      </c>
      <c r="H8" s="51">
        <v>9202474.3384182826</v>
      </c>
      <c r="I8" s="51">
        <v>53.799612834156996</v>
      </c>
      <c r="J8" s="51">
        <v>83658.857621984382</v>
      </c>
      <c r="K8" s="60"/>
    </row>
    <row r="9" spans="1:12">
      <c r="A9" s="12" t="s">
        <v>1905</v>
      </c>
      <c r="B9" s="13">
        <v>89</v>
      </c>
      <c r="C9" s="13">
        <v>181171.40791899996</v>
      </c>
      <c r="D9" s="50">
        <v>5344556.5336104985</v>
      </c>
      <c r="E9" s="13">
        <v>228361.50637670435</v>
      </c>
      <c r="F9" s="51">
        <v>2492358.684540004</v>
      </c>
      <c r="G9" s="51">
        <v>2079632.9459199009</v>
      </c>
      <c r="H9" s="51">
        <v>9916548.1640704032</v>
      </c>
      <c r="I9" s="51">
        <v>54.735723909061846</v>
      </c>
      <c r="J9" s="51">
        <v>111421.88948393712</v>
      </c>
      <c r="K9" s="60"/>
    </row>
    <row r="10" spans="1:12">
      <c r="A10" s="12" t="s">
        <v>1906</v>
      </c>
      <c r="B10" s="13">
        <v>77</v>
      </c>
      <c r="C10" s="13">
        <v>310912.35376500012</v>
      </c>
      <c r="D10" s="50">
        <v>9171914.4360674974</v>
      </c>
      <c r="E10" s="13">
        <v>375878.35578085092</v>
      </c>
      <c r="F10" s="51">
        <v>3431198.1669030441</v>
      </c>
      <c r="G10" s="51">
        <v>3666532.0053499746</v>
      </c>
      <c r="H10" s="51">
        <v>16269644.608320525</v>
      </c>
      <c r="I10" s="51">
        <v>52.328717116907384</v>
      </c>
      <c r="J10" s="51">
        <v>211294.08582234447</v>
      </c>
      <c r="K10" s="60"/>
    </row>
    <row r="11" spans="1:12">
      <c r="A11" s="12" t="s">
        <v>1907</v>
      </c>
      <c r="B11" s="13">
        <v>46</v>
      </c>
      <c r="C11" s="13">
        <v>249469.45250099996</v>
      </c>
      <c r="D11" s="50">
        <v>7359348.8487795023</v>
      </c>
      <c r="E11" s="13">
        <v>295785.87769817124</v>
      </c>
      <c r="F11" s="51">
        <v>2446215.3788571018</v>
      </c>
      <c r="G11" s="51">
        <v>2752241.9237328726</v>
      </c>
      <c r="H11" s="51">
        <v>12557806.151369475</v>
      </c>
      <c r="I11" s="51">
        <v>50.338051514820791</v>
      </c>
      <c r="J11" s="51">
        <v>272995.78589933639</v>
      </c>
      <c r="K11" s="60"/>
    </row>
    <row r="12" spans="1:12">
      <c r="A12" s="12" t="s">
        <v>1909</v>
      </c>
      <c r="B12" s="13">
        <v>47</v>
      </c>
      <c r="C12" s="13">
        <v>202126.95767099998</v>
      </c>
      <c r="D12" s="50">
        <v>5962745.2512945011</v>
      </c>
      <c r="E12" s="13">
        <v>273340.02091080678</v>
      </c>
      <c r="F12" s="51">
        <v>3761138.5103912982</v>
      </c>
      <c r="G12" s="51">
        <v>1792985.236503076</v>
      </c>
      <c r="H12" s="51">
        <v>11516868.998188872</v>
      </c>
      <c r="I12" s="51">
        <v>56.978391852781776</v>
      </c>
      <c r="J12" s="51">
        <v>245039.76591891216</v>
      </c>
      <c r="K12" s="60"/>
    </row>
    <row r="13" spans="1:12">
      <c r="A13" s="12" t="s">
        <v>1908</v>
      </c>
      <c r="B13" s="13">
        <v>8</v>
      </c>
      <c r="C13" s="13">
        <v>193311.53457900003</v>
      </c>
      <c r="D13" s="50">
        <v>5702690.2700805003</v>
      </c>
      <c r="E13" s="13">
        <v>282061.51360345457</v>
      </c>
      <c r="F13" s="51">
        <v>4687355.7844469687</v>
      </c>
      <c r="G13" s="51">
        <v>2679673.3274556026</v>
      </c>
      <c r="H13" s="51">
        <v>13069719.381983072</v>
      </c>
      <c r="I13" s="51">
        <v>67.609619935234178</v>
      </c>
      <c r="J13" s="51">
        <v>1633714.9227478839</v>
      </c>
      <c r="K13" s="60"/>
    </row>
    <row r="14" spans="1:12">
      <c r="A14" s="11" t="s">
        <v>1684</v>
      </c>
      <c r="B14" s="13">
        <v>301</v>
      </c>
      <c r="C14" s="13">
        <v>100516.84404400006</v>
      </c>
      <c r="D14" s="50">
        <v>2394735.1814628011</v>
      </c>
      <c r="E14" s="13">
        <v>138817.97761623416</v>
      </c>
      <c r="F14" s="51">
        <v>1655232.5034871816</v>
      </c>
      <c r="G14" s="51">
        <v>37283.201296845771</v>
      </c>
      <c r="H14" s="51">
        <v>4087250.8862468274</v>
      </c>
      <c r="I14" s="51">
        <v>40.662347938995005</v>
      </c>
      <c r="J14" s="51">
        <v>13578.906598826668</v>
      </c>
      <c r="K14" s="60"/>
    </row>
    <row r="15" spans="1:12">
      <c r="A15" s="12" t="s">
        <v>3266</v>
      </c>
      <c r="B15" s="13">
        <v>287</v>
      </c>
      <c r="C15" s="13">
        <v>76342.618712000054</v>
      </c>
      <c r="D15" s="50">
        <v>2252107.2520040013</v>
      </c>
      <c r="E15" s="13">
        <v>107682.64424462865</v>
      </c>
      <c r="F15" s="51">
        <v>1655232.5034871816</v>
      </c>
      <c r="G15" s="51">
        <v>37283.201296845771</v>
      </c>
      <c r="H15" s="51">
        <v>3944622.9567880272</v>
      </c>
      <c r="I15" s="51">
        <v>51.669998008176584</v>
      </c>
      <c r="J15" s="51">
        <v>13744.330859888596</v>
      </c>
      <c r="K15" s="60"/>
    </row>
    <row r="16" spans="1:12">
      <c r="A16" s="12" t="s">
        <v>3267</v>
      </c>
      <c r="B16" s="13">
        <v>14</v>
      </c>
      <c r="C16" s="13">
        <v>24174.225332000002</v>
      </c>
      <c r="D16" s="50">
        <v>142627.9294588</v>
      </c>
      <c r="E16" s="13">
        <v>31135.333371605502</v>
      </c>
      <c r="F16" s="51">
        <v>0</v>
      </c>
      <c r="G16" s="51">
        <v>0</v>
      </c>
      <c r="H16" s="51">
        <v>142627.9294588</v>
      </c>
      <c r="I16" s="51">
        <v>5.8999999999999995</v>
      </c>
      <c r="J16" s="51">
        <v>10187.709247057142</v>
      </c>
      <c r="K16" s="60"/>
    </row>
    <row r="17" spans="1:11">
      <c r="A17" s="11" t="s">
        <v>1973</v>
      </c>
      <c r="B17" s="13">
        <v>41</v>
      </c>
      <c r="C17" s="13">
        <v>1821.8600000000001</v>
      </c>
      <c r="D17" s="50">
        <v>53744.87</v>
      </c>
      <c r="E17" s="13">
        <v>8418.8872720000018</v>
      </c>
      <c r="F17" s="51">
        <v>348423.90143036621</v>
      </c>
      <c r="G17" s="51">
        <v>0</v>
      </c>
      <c r="H17" s="51">
        <v>402168.77143036638</v>
      </c>
      <c r="I17" s="51">
        <v>220.74625461361813</v>
      </c>
      <c r="J17" s="51">
        <v>9808.994425130888</v>
      </c>
      <c r="K17" s="60"/>
    </row>
    <row r="18" spans="1:11">
      <c r="A18" s="11" t="s">
        <v>456</v>
      </c>
      <c r="B18" s="13">
        <v>49</v>
      </c>
      <c r="C18" s="13">
        <v>42924.811215000002</v>
      </c>
      <c r="D18" s="50">
        <v>1266281.9308425002</v>
      </c>
      <c r="E18" s="13">
        <v>55375.054325662881</v>
      </c>
      <c r="F18" s="51">
        <v>657563.1871017823</v>
      </c>
      <c r="G18" s="51">
        <v>0</v>
      </c>
      <c r="H18" s="51">
        <v>1923845.1179442818</v>
      </c>
      <c r="I18" s="51">
        <v>44.81895350239764</v>
      </c>
      <c r="J18" s="51">
        <v>39262.145264169019</v>
      </c>
      <c r="K18" s="60"/>
    </row>
    <row r="19" spans="1:11">
      <c r="A19" s="11" t="s">
        <v>3249</v>
      </c>
      <c r="B19" s="13">
        <v>720</v>
      </c>
      <c r="C19" s="13">
        <v>165916</v>
      </c>
      <c r="D19" s="50">
        <v>4894522</v>
      </c>
      <c r="E19" s="13">
        <v>177466.8318000001</v>
      </c>
      <c r="F19" s="51">
        <v>610060.51886485808</v>
      </c>
      <c r="G19" s="51">
        <v>0</v>
      </c>
      <c r="H19" s="51">
        <v>5504582.5188648598</v>
      </c>
      <c r="I19" s="51">
        <v>33.176923978789624</v>
      </c>
      <c r="J19" s="51">
        <v>7645.2534984234162</v>
      </c>
      <c r="K19" s="60"/>
    </row>
    <row r="20" spans="1:11">
      <c r="A20" s="11" t="s">
        <v>1673</v>
      </c>
      <c r="B20" s="13">
        <v>7</v>
      </c>
      <c r="C20" s="13">
        <v>3269.001726</v>
      </c>
      <c r="D20" s="50">
        <v>96435.550917</v>
      </c>
      <c r="E20" s="13">
        <v>3592.9963186877826</v>
      </c>
      <c r="F20" s="51">
        <v>17111.868023609968</v>
      </c>
      <c r="G20" s="51">
        <v>0</v>
      </c>
      <c r="H20" s="51">
        <v>113547.41894060999</v>
      </c>
      <c r="I20" s="51">
        <v>34.734585190797169</v>
      </c>
      <c r="J20" s="51">
        <v>16221.05984865857</v>
      </c>
      <c r="K20" s="60"/>
    </row>
    <row r="21" spans="1:11">
      <c r="A21" s="11" t="s">
        <v>1899</v>
      </c>
      <c r="B21" s="13">
        <v>1727</v>
      </c>
      <c r="C21" s="13">
        <v>1868397.9294050003</v>
      </c>
      <c r="D21" s="50">
        <v>54547227.19961229</v>
      </c>
      <c r="E21" s="13">
        <v>2343079.1475385111</v>
      </c>
      <c r="F21" s="51">
        <v>24702772.751605339</v>
      </c>
      <c r="G21" s="51">
        <v>20749999.999999985</v>
      </c>
      <c r="H21" s="51">
        <v>99999999.951217622</v>
      </c>
      <c r="I21" s="51">
        <v>53.521789110022745</v>
      </c>
      <c r="J21" s="51">
        <v>57903.879531683589</v>
      </c>
      <c r="K21" s="60"/>
    </row>
    <row r="22" spans="1:11">
      <c r="A22"/>
      <c r="B22"/>
      <c r="C22"/>
      <c r="D22"/>
      <c r="E22"/>
      <c r="F22"/>
      <c r="G22"/>
      <c r="H22"/>
      <c r="I22"/>
      <c r="J22"/>
      <c r="K22" s="60"/>
    </row>
    <row r="23" spans="1:11">
      <c r="A23"/>
      <c r="B23"/>
      <c r="C23"/>
      <c r="D23"/>
      <c r="E23"/>
      <c r="F23"/>
      <c r="G23"/>
      <c r="H23"/>
      <c r="I23"/>
      <c r="J23"/>
      <c r="K23" s="60"/>
    </row>
    <row r="24" spans="1:11">
      <c r="A24"/>
      <c r="B24"/>
      <c r="C24"/>
      <c r="D24"/>
      <c r="E24"/>
      <c r="F24"/>
      <c r="G24"/>
      <c r="H24"/>
      <c r="J24"/>
      <c r="K24" s="60"/>
    </row>
    <row r="25" spans="1:11">
      <c r="A25"/>
      <c r="B25"/>
      <c r="C25"/>
      <c r="D25"/>
      <c r="E25"/>
      <c r="F25"/>
      <c r="G25"/>
      <c r="H25"/>
      <c r="I25"/>
      <c r="J25"/>
      <c r="K25" s="60"/>
    </row>
    <row r="26" spans="1:11">
      <c r="A26"/>
      <c r="B26"/>
      <c r="C26"/>
      <c r="D26"/>
      <c r="E26"/>
      <c r="F26"/>
      <c r="G26"/>
      <c r="H26"/>
      <c r="I26"/>
      <c r="J26"/>
      <c r="K26" s="60"/>
    </row>
    <row r="27" spans="1:11">
      <c r="A27"/>
      <c r="B27"/>
      <c r="C27"/>
      <c r="D27"/>
      <c r="E27"/>
      <c r="F27"/>
      <c r="G27"/>
      <c r="H27"/>
      <c r="I27"/>
    </row>
    <row r="28" spans="1:11">
      <c r="B28" s="2"/>
      <c r="C28" s="2"/>
    </row>
    <row r="29" spans="1:11">
      <c r="B29" s="2"/>
      <c r="C29" s="2"/>
    </row>
    <row r="30" spans="1:11">
      <c r="B30" s="2"/>
      <c r="C30" s="2"/>
    </row>
    <row r="31" spans="1:11">
      <c r="B31" s="2"/>
      <c r="C31" s="2"/>
    </row>
    <row r="32" spans="1:11">
      <c r="B32" s="2"/>
      <c r="C32" s="2"/>
    </row>
    <row r="33" spans="2:3">
      <c r="B33" s="2"/>
      <c r="C33" s="2"/>
    </row>
    <row r="34" spans="2:3">
      <c r="B34" s="2"/>
      <c r="C34" s="2"/>
    </row>
    <row r="35" spans="2:3">
      <c r="B35" s="2"/>
      <c r="C35" s="2"/>
    </row>
    <row r="36" spans="2:3">
      <c r="B36" s="2"/>
      <c r="C36" s="2"/>
    </row>
    <row r="37" spans="2:3">
      <c r="B37" s="2"/>
      <c r="C37" s="2"/>
    </row>
    <row r="38" spans="2:3">
      <c r="B38" s="2"/>
      <c r="C38" s="2"/>
    </row>
    <row r="39" spans="2:3">
      <c r="B39" s="2"/>
      <c r="C39" s="2"/>
    </row>
    <row r="40" spans="2:3">
      <c r="B40" s="2"/>
      <c r="C40" s="2"/>
    </row>
    <row r="41" spans="2:3">
      <c r="B41" s="2"/>
      <c r="C41" s="2"/>
    </row>
    <row r="42" spans="2:3">
      <c r="B42" s="2"/>
      <c r="C42" s="2"/>
    </row>
    <row r="43" spans="2:3">
      <c r="B43" s="2"/>
      <c r="C43" s="2"/>
    </row>
    <row r="44" spans="2:3">
      <c r="B44" s="2"/>
      <c r="C44" s="2"/>
    </row>
    <row r="45" spans="2:3">
      <c r="B45" s="2"/>
      <c r="C45" s="2"/>
    </row>
    <row r="46" spans="2:3">
      <c r="B46" s="2"/>
      <c r="C46" s="2"/>
    </row>
    <row r="47" spans="2:3">
      <c r="B47" s="2"/>
      <c r="C47" s="2"/>
    </row>
    <row r="48" spans="2:3">
      <c r="B48" s="2"/>
      <c r="C48" s="2"/>
    </row>
    <row r="49" spans="2:3">
      <c r="B49" s="2"/>
      <c r="C49" s="2"/>
    </row>
    <row r="50" spans="2:3">
      <c r="B50" s="2"/>
      <c r="C50" s="2"/>
    </row>
    <row r="51" spans="2:3">
      <c r="B51" s="2"/>
      <c r="C51" s="2"/>
    </row>
    <row r="52" spans="2:3">
      <c r="B52" s="2"/>
      <c r="C52" s="2"/>
    </row>
    <row r="53" spans="2:3">
      <c r="B53" s="2"/>
      <c r="C53" s="2"/>
    </row>
    <row r="54" spans="2:3">
      <c r="B54" s="2"/>
      <c r="C54" s="2"/>
    </row>
    <row r="55" spans="2:3">
      <c r="B55" s="2"/>
      <c r="C55" s="2"/>
    </row>
    <row r="56" spans="2:3">
      <c r="B56" s="2"/>
      <c r="C56" s="2"/>
    </row>
    <row r="57" spans="2:3">
      <c r="B57" s="2"/>
      <c r="C57" s="2"/>
    </row>
    <row r="58" spans="2:3">
      <c r="B58" s="2"/>
      <c r="C58" s="2"/>
    </row>
    <row r="59" spans="2:3">
      <c r="B59" s="2"/>
      <c r="C59" s="2"/>
    </row>
    <row r="60" spans="2:3">
      <c r="B60" s="2"/>
      <c r="C60" s="2"/>
    </row>
    <row r="61" spans="2:3">
      <c r="B61" s="2"/>
      <c r="C61" s="2"/>
    </row>
    <row r="62" spans="2:3">
      <c r="B62" s="2"/>
      <c r="C62" s="2"/>
    </row>
    <row r="63" spans="2:3">
      <c r="B63" s="2"/>
      <c r="C63" s="2"/>
    </row>
    <row r="64" spans="2:3">
      <c r="B64" s="2"/>
      <c r="C64" s="2"/>
    </row>
    <row r="65" spans="2:3">
      <c r="B65" s="2"/>
      <c r="C65" s="2"/>
    </row>
    <row r="66" spans="2:3">
      <c r="B66" s="2"/>
      <c r="C66" s="2"/>
    </row>
    <row r="67" spans="2:3">
      <c r="B67" s="2"/>
      <c r="C67" s="2"/>
    </row>
    <row r="68" spans="2:3">
      <c r="B68" s="2"/>
      <c r="C68" s="2"/>
    </row>
    <row r="69" spans="2:3">
      <c r="B69" s="2"/>
      <c r="C69" s="2"/>
    </row>
    <row r="70" spans="2:3">
      <c r="B70" s="2"/>
      <c r="C70" s="2"/>
    </row>
    <row r="71" spans="2:3">
      <c r="B71" s="2"/>
      <c r="C71" s="2"/>
    </row>
    <row r="72" spans="2:3">
      <c r="B72" s="2"/>
      <c r="C72" s="2"/>
    </row>
    <row r="73" spans="2:3">
      <c r="B73" s="2"/>
      <c r="C73" s="2"/>
    </row>
    <row r="74" spans="2:3">
      <c r="B74" s="2"/>
      <c r="C74" s="2"/>
    </row>
    <row r="75" spans="2:3">
      <c r="B75" s="2"/>
      <c r="C75" s="2"/>
    </row>
    <row r="76" spans="2:3">
      <c r="B76" s="2"/>
      <c r="C76" s="2"/>
    </row>
    <row r="77" spans="2:3">
      <c r="B77" s="2"/>
      <c r="C77" s="2"/>
    </row>
    <row r="78" spans="2:3">
      <c r="B78" s="2"/>
      <c r="C78" s="2"/>
    </row>
    <row r="79" spans="2:3">
      <c r="B79" s="2"/>
      <c r="C79" s="2"/>
    </row>
    <row r="80" spans="2:3">
      <c r="B80" s="2"/>
      <c r="C80" s="2"/>
    </row>
    <row r="81" spans="2:3">
      <c r="B81" s="2"/>
      <c r="C81" s="2"/>
    </row>
    <row r="82" spans="2:3">
      <c r="B82" s="2"/>
      <c r="C82" s="2"/>
    </row>
    <row r="83" spans="2:3">
      <c r="B83" s="2"/>
      <c r="C83" s="2"/>
    </row>
    <row r="84" spans="2:3">
      <c r="B84" s="2"/>
      <c r="C84" s="2"/>
    </row>
    <row r="85" spans="2:3">
      <c r="B85" s="2"/>
      <c r="C85" s="2"/>
    </row>
    <row r="86" spans="2:3">
      <c r="B86" s="2"/>
      <c r="C86" s="2"/>
    </row>
    <row r="87" spans="2:3">
      <c r="B87" s="2"/>
      <c r="C87" s="2"/>
    </row>
    <row r="88" spans="2:3">
      <c r="B88" s="2"/>
      <c r="C88" s="2"/>
    </row>
    <row r="89" spans="2:3">
      <c r="B89" s="2"/>
      <c r="C89" s="2"/>
    </row>
    <row r="90" spans="2:3">
      <c r="B90" s="2"/>
      <c r="C90" s="2"/>
    </row>
    <row r="91" spans="2:3">
      <c r="B91" s="2"/>
      <c r="C91" s="2"/>
    </row>
    <row r="92" spans="2:3">
      <c r="B92" s="2"/>
      <c r="C92" s="2"/>
    </row>
    <row r="93" spans="2:3">
      <c r="B93" s="2"/>
      <c r="C93" s="2"/>
    </row>
    <row r="94" spans="2:3">
      <c r="B94" s="2"/>
      <c r="C94" s="2"/>
    </row>
    <row r="95" spans="2:3">
      <c r="B95" s="2"/>
      <c r="C95" s="2"/>
    </row>
    <row r="96" spans="2:3">
      <c r="B96" s="2"/>
      <c r="C96" s="2"/>
    </row>
    <row r="97" spans="2:3">
      <c r="B97" s="2"/>
      <c r="C97" s="2"/>
    </row>
    <row r="98" spans="2:3">
      <c r="B98" s="2"/>
      <c r="C98" s="2"/>
    </row>
    <row r="99" spans="2:3">
      <c r="B99" s="2"/>
      <c r="C99" s="2"/>
    </row>
    <row r="100" spans="2:3">
      <c r="B100" s="2"/>
      <c r="C100" s="2"/>
    </row>
    <row r="101" spans="2:3">
      <c r="B101" s="2"/>
      <c r="C101" s="2"/>
    </row>
    <row r="102" spans="2:3">
      <c r="B102" s="2"/>
      <c r="C102" s="2"/>
    </row>
    <row r="103" spans="2:3">
      <c r="B103" s="2"/>
      <c r="C103" s="2"/>
    </row>
    <row r="104" spans="2:3">
      <c r="B104" s="2"/>
      <c r="C104" s="2"/>
    </row>
    <row r="105" spans="2:3">
      <c r="B105" s="2"/>
      <c r="C105" s="2"/>
    </row>
    <row r="106" spans="2:3">
      <c r="B106" s="2"/>
      <c r="C106" s="2"/>
    </row>
    <row r="107" spans="2:3">
      <c r="B107" s="2"/>
      <c r="C107" s="2"/>
    </row>
    <row r="108" spans="2:3">
      <c r="B108" s="2"/>
      <c r="C108" s="2"/>
    </row>
    <row r="109" spans="2:3">
      <c r="B109" s="2"/>
      <c r="C109" s="2"/>
    </row>
    <row r="110" spans="2:3">
      <c r="B110" s="2"/>
      <c r="C110" s="2"/>
    </row>
    <row r="111" spans="2:3">
      <c r="B111" s="2"/>
      <c r="C111" s="2"/>
    </row>
    <row r="112" spans="2:3">
      <c r="B112" s="2"/>
      <c r="C112" s="2"/>
    </row>
    <row r="113" spans="2:3">
      <c r="B113" s="2"/>
      <c r="C113" s="2"/>
    </row>
    <row r="114" spans="2:3">
      <c r="B114" s="2"/>
      <c r="C114" s="2"/>
    </row>
    <row r="115" spans="2:3">
      <c r="B115" s="2"/>
      <c r="C115" s="2"/>
    </row>
    <row r="116" spans="2:3">
      <c r="B116" s="2"/>
      <c r="C116" s="2"/>
    </row>
    <row r="117" spans="2:3">
      <c r="B117" s="2"/>
      <c r="C117" s="2"/>
    </row>
    <row r="118" spans="2:3">
      <c r="B118" s="2"/>
      <c r="C118" s="2"/>
    </row>
    <row r="119" spans="2:3">
      <c r="B119" s="2"/>
      <c r="C119" s="2"/>
    </row>
    <row r="120" spans="2:3">
      <c r="B120" s="2"/>
      <c r="C120" s="2"/>
    </row>
    <row r="121" spans="2:3">
      <c r="B121" s="2"/>
      <c r="C121" s="2"/>
    </row>
    <row r="122" spans="2:3">
      <c r="B122" s="2"/>
      <c r="C122" s="2"/>
    </row>
    <row r="123" spans="2:3">
      <c r="B123" s="2"/>
      <c r="C123" s="2"/>
    </row>
    <row r="124" spans="2:3">
      <c r="B124" s="2"/>
      <c r="C124" s="2"/>
    </row>
    <row r="125" spans="2:3">
      <c r="B125" s="2"/>
      <c r="C125" s="2"/>
    </row>
    <row r="126" spans="2:3">
      <c r="B126" s="2"/>
      <c r="C126" s="2"/>
    </row>
    <row r="127" spans="2:3">
      <c r="B127" s="2"/>
      <c r="C127" s="2"/>
    </row>
    <row r="128" spans="2:3">
      <c r="B128" s="2"/>
      <c r="C128" s="2"/>
    </row>
    <row r="129" spans="2:3">
      <c r="B129" s="2"/>
      <c r="C129" s="2"/>
    </row>
    <row r="130" spans="2:3">
      <c r="B130" s="2"/>
      <c r="C130" s="2"/>
    </row>
    <row r="131" spans="2:3">
      <c r="B131" s="2"/>
      <c r="C131" s="2"/>
    </row>
    <row r="132" spans="2:3">
      <c r="B132" s="2"/>
      <c r="C132" s="2"/>
    </row>
    <row r="133" spans="2:3">
      <c r="B133" s="2"/>
      <c r="C133" s="2"/>
    </row>
    <row r="134" spans="2:3">
      <c r="B134" s="2"/>
      <c r="C134" s="2"/>
    </row>
    <row r="135" spans="2:3">
      <c r="B135" s="2"/>
      <c r="C135" s="2"/>
    </row>
    <row r="136" spans="2:3">
      <c r="B136" s="2"/>
      <c r="C136" s="2"/>
    </row>
    <row r="137" spans="2:3">
      <c r="B137" s="2"/>
      <c r="C137" s="2"/>
    </row>
    <row r="138" spans="2:3">
      <c r="B138" s="2"/>
      <c r="C138" s="2"/>
    </row>
    <row r="139" spans="2:3">
      <c r="B139" s="2"/>
      <c r="C139" s="2"/>
    </row>
    <row r="140" spans="2:3">
      <c r="B140" s="2"/>
      <c r="C140" s="2"/>
    </row>
    <row r="141" spans="2:3">
      <c r="B141" s="2"/>
      <c r="C141" s="2"/>
    </row>
    <row r="142" spans="2:3">
      <c r="B142" s="2"/>
      <c r="C142" s="2"/>
    </row>
    <row r="143" spans="2:3">
      <c r="B143" s="2"/>
      <c r="C143" s="2"/>
    </row>
    <row r="144" spans="2:3">
      <c r="B144" s="2"/>
      <c r="C144" s="2"/>
    </row>
    <row r="145" spans="2:3">
      <c r="B145" s="2"/>
      <c r="C145" s="2"/>
    </row>
    <row r="146" spans="2:3">
      <c r="B146" s="2"/>
      <c r="C146" s="2"/>
    </row>
    <row r="147" spans="2:3">
      <c r="B147" s="2"/>
      <c r="C147" s="2"/>
    </row>
    <row r="148" spans="2:3">
      <c r="B148" s="2"/>
      <c r="C148" s="2"/>
    </row>
    <row r="149" spans="2:3">
      <c r="B149" s="2"/>
      <c r="C149" s="2"/>
    </row>
    <row r="150" spans="2:3">
      <c r="B150" s="2"/>
      <c r="C150" s="2"/>
    </row>
    <row r="151" spans="2:3">
      <c r="B151" s="2"/>
      <c r="C151" s="2"/>
    </row>
    <row r="152" spans="2:3">
      <c r="B152" s="2"/>
      <c r="C152" s="2"/>
    </row>
    <row r="153" spans="2:3">
      <c r="B153" s="2"/>
      <c r="C153" s="2"/>
    </row>
    <row r="154" spans="2:3">
      <c r="B154" s="2"/>
      <c r="C154" s="2"/>
    </row>
    <row r="155" spans="2:3">
      <c r="B155" s="2"/>
      <c r="C155" s="2"/>
    </row>
    <row r="156" spans="2:3">
      <c r="B156" s="2"/>
      <c r="C156" s="2"/>
    </row>
    <row r="157" spans="2:3">
      <c r="B157" s="2"/>
      <c r="C157" s="2"/>
    </row>
    <row r="158" spans="2:3">
      <c r="B158" s="2"/>
      <c r="C158" s="2"/>
    </row>
    <row r="159" spans="2:3">
      <c r="B159" s="2"/>
      <c r="C159" s="2"/>
    </row>
    <row r="160" spans="2:3">
      <c r="B160" s="2"/>
      <c r="C160" s="2"/>
    </row>
    <row r="161" spans="2:3">
      <c r="B161" s="2"/>
      <c r="C161" s="2"/>
    </row>
    <row r="162" spans="2:3">
      <c r="B162" s="2"/>
      <c r="C162" s="2"/>
    </row>
    <row r="163" spans="2:3">
      <c r="B163" s="2"/>
      <c r="C163" s="2"/>
    </row>
    <row r="164" spans="2:3">
      <c r="B164" s="2"/>
      <c r="C164" s="2"/>
    </row>
    <row r="165" spans="2:3">
      <c r="B165" s="2"/>
      <c r="C165" s="2"/>
    </row>
    <row r="166" spans="2:3">
      <c r="B166" s="2"/>
      <c r="C166" s="2"/>
    </row>
    <row r="167" spans="2:3">
      <c r="B167" s="2"/>
      <c r="C167" s="2"/>
    </row>
    <row r="168" spans="2:3">
      <c r="B168" s="2"/>
      <c r="C168" s="2"/>
    </row>
    <row r="169" spans="2:3">
      <c r="B169" s="2"/>
      <c r="C169" s="2"/>
    </row>
    <row r="170" spans="2:3">
      <c r="B170" s="2"/>
      <c r="C170" s="2"/>
    </row>
    <row r="171" spans="2:3">
      <c r="B171" s="2"/>
      <c r="C171" s="2"/>
    </row>
    <row r="172" spans="2:3">
      <c r="B172" s="2"/>
      <c r="C172" s="2"/>
    </row>
    <row r="173" spans="2:3">
      <c r="B173" s="2"/>
      <c r="C173" s="2"/>
    </row>
    <row r="174" spans="2:3">
      <c r="B174" s="2"/>
      <c r="C174" s="2"/>
    </row>
    <row r="175" spans="2:3">
      <c r="B175" s="2"/>
      <c r="C175" s="2"/>
    </row>
    <row r="176" spans="2:3">
      <c r="B176" s="2"/>
      <c r="C176" s="2"/>
    </row>
    <row r="177" spans="2:3">
      <c r="B177" s="2"/>
      <c r="C177" s="2"/>
    </row>
    <row r="178" spans="2:3">
      <c r="B178" s="2"/>
      <c r="C178" s="2"/>
    </row>
    <row r="179" spans="2:3">
      <c r="B179" s="2"/>
      <c r="C179" s="2"/>
    </row>
    <row r="180" spans="2:3">
      <c r="B180" s="2"/>
      <c r="C180" s="2"/>
    </row>
    <row r="181" spans="2:3">
      <c r="B181" s="2"/>
      <c r="C181" s="2"/>
    </row>
    <row r="182" spans="2:3">
      <c r="B182" s="2"/>
      <c r="C182" s="2"/>
    </row>
    <row r="183" spans="2:3">
      <c r="B183" s="2"/>
      <c r="C183" s="2"/>
    </row>
    <row r="184" spans="2:3">
      <c r="B184" s="2"/>
      <c r="C184" s="2"/>
    </row>
    <row r="185" spans="2:3">
      <c r="B185" s="2"/>
      <c r="C185" s="2"/>
    </row>
    <row r="186" spans="2:3">
      <c r="B186" s="2"/>
      <c r="C186" s="2"/>
    </row>
    <row r="187" spans="2:3">
      <c r="B187" s="2"/>
      <c r="C187" s="2"/>
    </row>
    <row r="188" spans="2:3">
      <c r="B188" s="2"/>
      <c r="C188" s="2"/>
    </row>
    <row r="189" spans="2:3">
      <c r="B189" s="2"/>
      <c r="C189" s="2"/>
    </row>
    <row r="190" spans="2:3">
      <c r="B190" s="2"/>
      <c r="C190" s="2"/>
    </row>
    <row r="191" spans="2:3">
      <c r="B191" s="2"/>
      <c r="C191" s="2"/>
    </row>
    <row r="192" spans="2:3">
      <c r="B192" s="2"/>
      <c r="C192" s="2"/>
    </row>
    <row r="193" spans="2:3">
      <c r="B193" s="2"/>
      <c r="C193" s="2"/>
    </row>
    <row r="194" spans="2:3">
      <c r="B194" s="2"/>
      <c r="C194" s="2"/>
    </row>
    <row r="195" spans="2:3">
      <c r="B195" s="2"/>
      <c r="C195" s="2"/>
    </row>
    <row r="196" spans="2:3">
      <c r="B196" s="2"/>
      <c r="C196" s="2"/>
    </row>
    <row r="197" spans="2:3">
      <c r="B197" s="2"/>
      <c r="C197" s="2"/>
    </row>
    <row r="198" spans="2:3">
      <c r="B198" s="2"/>
      <c r="C198" s="2"/>
    </row>
    <row r="199" spans="2:3">
      <c r="B199" s="2"/>
      <c r="C199" s="2"/>
    </row>
    <row r="200" spans="2:3">
      <c r="B200" s="2"/>
      <c r="C200" s="2"/>
    </row>
    <row r="201" spans="2:3">
      <c r="B201" s="2"/>
      <c r="C201" s="2"/>
    </row>
    <row r="202" spans="2:3">
      <c r="B202" s="2"/>
      <c r="C202" s="2"/>
    </row>
    <row r="203" spans="2:3">
      <c r="B203" s="2"/>
      <c r="C203" s="2"/>
    </row>
    <row r="204" spans="2:3">
      <c r="B204" s="2"/>
      <c r="C204" s="2"/>
    </row>
    <row r="205" spans="2:3">
      <c r="B205" s="2"/>
      <c r="C205" s="2"/>
    </row>
    <row r="206" spans="2:3">
      <c r="B206" s="2"/>
      <c r="C206" s="2"/>
    </row>
    <row r="207" spans="2:3">
      <c r="B207" s="2"/>
      <c r="C207" s="2"/>
    </row>
    <row r="208" spans="2:3">
      <c r="B208" s="2"/>
      <c r="C208" s="2"/>
    </row>
    <row r="209" spans="2:3">
      <c r="B209" s="2"/>
      <c r="C209" s="2"/>
    </row>
    <row r="210" spans="2:3">
      <c r="B210" s="2"/>
      <c r="C210" s="2"/>
    </row>
    <row r="211" spans="2:3">
      <c r="B211" s="2"/>
      <c r="C211" s="2"/>
    </row>
    <row r="212" spans="2:3">
      <c r="B212" s="2"/>
      <c r="C212" s="2"/>
    </row>
    <row r="213" spans="2:3">
      <c r="B213" s="2"/>
      <c r="C213" s="2"/>
    </row>
    <row r="214" spans="2:3">
      <c r="B214" s="2"/>
      <c r="C214" s="2"/>
    </row>
    <row r="215" spans="2:3">
      <c r="B215" s="2"/>
      <c r="C215" s="2"/>
    </row>
    <row r="216" spans="2:3">
      <c r="B216" s="2"/>
      <c r="C216" s="2"/>
    </row>
    <row r="217" spans="2:3">
      <c r="B217" s="2"/>
      <c r="C217" s="2"/>
    </row>
    <row r="218" spans="2:3">
      <c r="B218" s="2"/>
      <c r="C218" s="2"/>
    </row>
    <row r="219" spans="2:3">
      <c r="B219" s="2"/>
      <c r="C219" s="2"/>
    </row>
    <row r="220" spans="2:3">
      <c r="B220" s="2"/>
      <c r="C220" s="2"/>
    </row>
    <row r="221" spans="2:3">
      <c r="B221" s="2"/>
      <c r="C221" s="2"/>
    </row>
    <row r="222" spans="2:3">
      <c r="B222" s="2"/>
      <c r="C222" s="2"/>
    </row>
    <row r="223" spans="2:3">
      <c r="B223" s="2"/>
      <c r="C223" s="2"/>
    </row>
    <row r="224" spans="2:3">
      <c r="B224" s="2"/>
      <c r="C224" s="2"/>
    </row>
    <row r="225" spans="2:3">
      <c r="B225" s="2"/>
      <c r="C225" s="2"/>
    </row>
    <row r="226" spans="2:3">
      <c r="B226" s="2"/>
      <c r="C226" s="2"/>
    </row>
    <row r="227" spans="2:3">
      <c r="B227" s="2"/>
      <c r="C227" s="2"/>
    </row>
    <row r="228" spans="2:3">
      <c r="B228" s="2"/>
      <c r="C228" s="2"/>
    </row>
    <row r="229" spans="2:3">
      <c r="B229" s="2"/>
      <c r="C229" s="2"/>
    </row>
    <row r="230" spans="2:3">
      <c r="B230" s="2"/>
      <c r="C230" s="2"/>
    </row>
    <row r="231" spans="2:3">
      <c r="B231" s="2"/>
      <c r="C231" s="2"/>
    </row>
    <row r="232" spans="2:3">
      <c r="B232" s="2"/>
      <c r="C232" s="2"/>
    </row>
    <row r="233" spans="2:3">
      <c r="B233" s="2"/>
      <c r="C233" s="2"/>
    </row>
    <row r="234" spans="2:3">
      <c r="B234" s="2"/>
      <c r="C234" s="2"/>
    </row>
    <row r="235" spans="2:3">
      <c r="B235" s="2"/>
      <c r="C235" s="2"/>
    </row>
    <row r="236" spans="2:3">
      <c r="B236" s="2"/>
      <c r="C236" s="2"/>
    </row>
    <row r="237" spans="2:3">
      <c r="B237" s="2"/>
      <c r="C237" s="2"/>
    </row>
    <row r="238" spans="2:3">
      <c r="B238" s="2"/>
      <c r="C238" s="2"/>
    </row>
    <row r="239" spans="2:3">
      <c r="B239" s="2"/>
      <c r="C239" s="2"/>
    </row>
    <row r="240" spans="2:3">
      <c r="B240" s="2"/>
      <c r="C240" s="2"/>
    </row>
    <row r="241" spans="2:3">
      <c r="B241" s="2"/>
      <c r="C241" s="2"/>
    </row>
    <row r="242" spans="2:3">
      <c r="B242" s="2"/>
      <c r="C242" s="2"/>
    </row>
    <row r="243" spans="2:3">
      <c r="B243" s="2"/>
      <c r="C243" s="2"/>
    </row>
    <row r="244" spans="2:3">
      <c r="B244" s="2"/>
      <c r="C244" s="2"/>
    </row>
    <row r="245" spans="2:3">
      <c r="B245" s="2"/>
      <c r="C245" s="2"/>
    </row>
    <row r="246" spans="2:3">
      <c r="B246" s="2"/>
      <c r="C246" s="2"/>
    </row>
    <row r="247" spans="2:3">
      <c r="B247" s="2"/>
      <c r="C247" s="2"/>
    </row>
    <row r="248" spans="2:3">
      <c r="B248" s="2"/>
      <c r="C248" s="2"/>
    </row>
    <row r="249" spans="2:3">
      <c r="B249" s="2"/>
      <c r="C249" s="2"/>
    </row>
    <row r="250" spans="2:3">
      <c r="B250" s="2"/>
      <c r="C250" s="2"/>
    </row>
    <row r="251" spans="2:3">
      <c r="B251" s="2"/>
      <c r="C251" s="2"/>
    </row>
    <row r="252" spans="2:3">
      <c r="B252" s="2"/>
      <c r="C252" s="2"/>
    </row>
    <row r="253" spans="2:3">
      <c r="B253" s="2"/>
      <c r="C253" s="2"/>
    </row>
    <row r="254" spans="2:3">
      <c r="B254" s="2"/>
      <c r="C254" s="2"/>
    </row>
    <row r="255" spans="2:3">
      <c r="B255" s="2"/>
      <c r="C255" s="2"/>
    </row>
    <row r="256" spans="2:3">
      <c r="B256" s="2"/>
      <c r="C256" s="2"/>
    </row>
    <row r="257" spans="2:3">
      <c r="B257" s="2"/>
      <c r="C257" s="2"/>
    </row>
    <row r="258" spans="2:3">
      <c r="B258" s="2"/>
      <c r="C258" s="2"/>
    </row>
    <row r="259" spans="2:3">
      <c r="B259" s="2"/>
      <c r="C259" s="2"/>
    </row>
    <row r="260" spans="2:3">
      <c r="B260" s="2"/>
      <c r="C260" s="2"/>
    </row>
    <row r="261" spans="2:3">
      <c r="B261" s="2"/>
      <c r="C261" s="2"/>
    </row>
    <row r="262" spans="2:3">
      <c r="B262" s="2"/>
      <c r="C262" s="2"/>
    </row>
    <row r="263" spans="2:3">
      <c r="B263" s="2"/>
      <c r="C263" s="2"/>
    </row>
    <row r="264" spans="2:3">
      <c r="B264" s="2"/>
      <c r="C264" s="2"/>
    </row>
    <row r="265" spans="2:3">
      <c r="B265" s="2"/>
      <c r="C265" s="2"/>
    </row>
    <row r="266" spans="2:3">
      <c r="B266" s="2"/>
      <c r="C266" s="2"/>
    </row>
    <row r="267" spans="2:3">
      <c r="B267" s="2"/>
      <c r="C267" s="2"/>
    </row>
    <row r="268" spans="2:3">
      <c r="B268" s="2"/>
      <c r="C268" s="2"/>
    </row>
    <row r="269" spans="2:3">
      <c r="B269" s="2"/>
      <c r="C269" s="2"/>
    </row>
    <row r="270" spans="2:3">
      <c r="B270" s="2"/>
      <c r="C270" s="2"/>
    </row>
    <row r="271" spans="2:3">
      <c r="B271" s="2"/>
      <c r="C271" s="2"/>
    </row>
    <row r="272" spans="2:3">
      <c r="B272" s="2"/>
      <c r="C272" s="2"/>
    </row>
    <row r="273" spans="2:3">
      <c r="B273" s="2"/>
      <c r="C273" s="2"/>
    </row>
    <row r="274" spans="2:3">
      <c r="B274" s="2"/>
      <c r="C274" s="2"/>
    </row>
    <row r="275" spans="2:3">
      <c r="B275" s="2"/>
      <c r="C275" s="2"/>
    </row>
    <row r="276" spans="2:3">
      <c r="B276" s="2"/>
      <c r="C276" s="2"/>
    </row>
    <row r="277" spans="2:3">
      <c r="B277" s="2"/>
      <c r="C277" s="2"/>
    </row>
    <row r="278" spans="2:3">
      <c r="B278" s="2"/>
      <c r="C278" s="2"/>
    </row>
    <row r="279" spans="2:3">
      <c r="B279" s="2"/>
      <c r="C279" s="2"/>
    </row>
    <row r="280" spans="2:3">
      <c r="B280" s="2"/>
      <c r="C280" s="2"/>
    </row>
    <row r="281" spans="2:3">
      <c r="B281" s="2"/>
      <c r="C281" s="2"/>
    </row>
    <row r="282" spans="2:3">
      <c r="B282" s="2"/>
      <c r="C282" s="2"/>
    </row>
    <row r="283" spans="2:3">
      <c r="B283" s="2"/>
      <c r="C283" s="2"/>
    </row>
    <row r="284" spans="2:3">
      <c r="B284" s="2"/>
      <c r="C284" s="2"/>
    </row>
    <row r="285" spans="2:3">
      <c r="B285" s="2"/>
      <c r="C285" s="2"/>
    </row>
    <row r="286" spans="2:3">
      <c r="B286" s="2"/>
      <c r="C286" s="2"/>
    </row>
    <row r="287" spans="2:3">
      <c r="B287" s="2"/>
      <c r="C287" s="2"/>
    </row>
    <row r="288" spans="2:3">
      <c r="B288" s="2"/>
      <c r="C288" s="2"/>
    </row>
    <row r="289" spans="2:3">
      <c r="B289" s="2"/>
      <c r="C289" s="2"/>
    </row>
    <row r="290" spans="2:3">
      <c r="B290" s="2"/>
      <c r="C290" s="2"/>
    </row>
    <row r="291" spans="2:3">
      <c r="B291" s="2"/>
      <c r="C291" s="2"/>
    </row>
    <row r="292" spans="2:3">
      <c r="B292" s="2"/>
      <c r="C292" s="2"/>
    </row>
    <row r="293" spans="2:3">
      <c r="B293" s="2"/>
      <c r="C293" s="2"/>
    </row>
    <row r="294" spans="2:3">
      <c r="B294" s="2"/>
      <c r="C294" s="2"/>
    </row>
    <row r="295" spans="2:3">
      <c r="B295" s="2"/>
      <c r="C295" s="2"/>
    </row>
    <row r="296" spans="2:3">
      <c r="B296" s="2"/>
      <c r="C296" s="2"/>
    </row>
    <row r="297" spans="2:3">
      <c r="B297" s="2"/>
      <c r="C297" s="2"/>
    </row>
    <row r="298" spans="2:3">
      <c r="B298" s="2"/>
      <c r="C298" s="2"/>
    </row>
    <row r="299" spans="2:3">
      <c r="B299" s="2"/>
      <c r="C299" s="2"/>
    </row>
    <row r="300" spans="2:3">
      <c r="B300" s="2"/>
      <c r="C300" s="2"/>
    </row>
    <row r="301" spans="2:3">
      <c r="B301" s="2"/>
      <c r="C301" s="2"/>
    </row>
    <row r="302" spans="2:3">
      <c r="B302" s="2"/>
      <c r="C302" s="2"/>
    </row>
    <row r="303" spans="2:3">
      <c r="B303" s="2"/>
      <c r="C303" s="2"/>
    </row>
    <row r="304" spans="2:3">
      <c r="B304" s="2"/>
      <c r="C304" s="2"/>
    </row>
    <row r="305" spans="2:3">
      <c r="B305" s="2"/>
      <c r="C305" s="2"/>
    </row>
    <row r="306" spans="2:3">
      <c r="B306" s="2"/>
      <c r="C306" s="2"/>
    </row>
    <row r="307" spans="2:3">
      <c r="B307" s="2"/>
      <c r="C307" s="2"/>
    </row>
    <row r="308" spans="2:3">
      <c r="B308" s="2"/>
      <c r="C308" s="2"/>
    </row>
    <row r="309" spans="2:3">
      <c r="B309" s="2"/>
      <c r="C309" s="2"/>
    </row>
    <row r="310" spans="2:3">
      <c r="B310" s="2"/>
      <c r="C310" s="2"/>
    </row>
    <row r="311" spans="2:3">
      <c r="B311" s="2"/>
      <c r="C311" s="2"/>
    </row>
    <row r="312" spans="2:3">
      <c r="B312" s="2"/>
      <c r="C312" s="2"/>
    </row>
    <row r="313" spans="2:3">
      <c r="B313" s="2"/>
      <c r="C313" s="2"/>
    </row>
    <row r="314" spans="2:3">
      <c r="B314" s="2"/>
      <c r="C314" s="2"/>
    </row>
    <row r="315" spans="2:3">
      <c r="B315" s="2"/>
      <c r="C315" s="2"/>
    </row>
    <row r="316" spans="2:3">
      <c r="B316" s="2"/>
      <c r="C316" s="2"/>
    </row>
    <row r="317" spans="2:3">
      <c r="B317" s="2"/>
      <c r="C317" s="2"/>
    </row>
    <row r="318" spans="2:3">
      <c r="B318" s="2"/>
      <c r="C318" s="2"/>
    </row>
    <row r="319" spans="2:3">
      <c r="B319" s="2"/>
      <c r="C319" s="2"/>
    </row>
    <row r="320" spans="2:3">
      <c r="B320" s="2"/>
      <c r="C320" s="2"/>
    </row>
    <row r="321" spans="2:3">
      <c r="B321" s="2"/>
      <c r="C321" s="2"/>
    </row>
    <row r="322" spans="2:3">
      <c r="B322" s="2"/>
      <c r="C322" s="2"/>
    </row>
    <row r="323" spans="2:3">
      <c r="B323" s="2"/>
      <c r="C323" s="2"/>
    </row>
    <row r="324" spans="2:3">
      <c r="B324" s="2"/>
      <c r="C324" s="2"/>
    </row>
    <row r="325" spans="2:3">
      <c r="B325" s="2"/>
      <c r="C325" s="2"/>
    </row>
    <row r="326" spans="2:3">
      <c r="B326" s="2"/>
      <c r="C326" s="2"/>
    </row>
    <row r="327" spans="2:3">
      <c r="B327" s="2"/>
      <c r="C327" s="2"/>
    </row>
    <row r="328" spans="2:3">
      <c r="B328" s="2"/>
      <c r="C328" s="2"/>
    </row>
    <row r="329" spans="2:3">
      <c r="B329" s="2"/>
      <c r="C329" s="2"/>
    </row>
    <row r="330" spans="2:3">
      <c r="B330" s="2"/>
      <c r="C330" s="2"/>
    </row>
    <row r="331" spans="2:3">
      <c r="B331" s="2"/>
      <c r="C331" s="2"/>
    </row>
    <row r="332" spans="2:3">
      <c r="B332" s="2"/>
      <c r="C332" s="2"/>
    </row>
    <row r="333" spans="2:3">
      <c r="B333" s="2"/>
      <c r="C333" s="2"/>
    </row>
    <row r="334" spans="2:3">
      <c r="B334" s="2"/>
      <c r="C334" s="2"/>
    </row>
    <row r="335" spans="2:3">
      <c r="B335" s="2"/>
      <c r="C335" s="2"/>
    </row>
    <row r="336" spans="2:3">
      <c r="B336" s="2"/>
      <c r="C336" s="2"/>
    </row>
    <row r="337" spans="2:3">
      <c r="B337" s="2"/>
      <c r="C337" s="2"/>
    </row>
    <row r="338" spans="2:3">
      <c r="B338" s="2"/>
      <c r="C338" s="2"/>
    </row>
    <row r="339" spans="2:3">
      <c r="B339" s="2"/>
      <c r="C339" s="2"/>
    </row>
    <row r="340" spans="2:3">
      <c r="B340" s="2"/>
      <c r="C340" s="2"/>
    </row>
    <row r="341" spans="2:3">
      <c r="B341" s="2"/>
      <c r="C341" s="2"/>
    </row>
    <row r="342" spans="2:3">
      <c r="B342" s="2"/>
      <c r="C342" s="2"/>
    </row>
    <row r="343" spans="2:3">
      <c r="B343" s="2"/>
      <c r="C343" s="2"/>
    </row>
    <row r="344" spans="2:3">
      <c r="B344" s="2"/>
      <c r="C344" s="2"/>
    </row>
    <row r="345" spans="2:3">
      <c r="B345" s="2"/>
      <c r="C345" s="2"/>
    </row>
    <row r="346" spans="2:3">
      <c r="B346" s="2"/>
      <c r="C346" s="2"/>
    </row>
    <row r="347" spans="2:3">
      <c r="B347" s="2"/>
      <c r="C347" s="2"/>
    </row>
    <row r="348" spans="2:3">
      <c r="B348" s="2"/>
      <c r="C348" s="2"/>
    </row>
    <row r="349" spans="2:3">
      <c r="B349" s="2"/>
      <c r="C349" s="2"/>
    </row>
    <row r="350" spans="2:3">
      <c r="B350" s="2"/>
      <c r="C350" s="2"/>
    </row>
    <row r="351" spans="2:3">
      <c r="B351" s="2"/>
      <c r="C351" s="2"/>
    </row>
    <row r="352" spans="2:3">
      <c r="B352" s="2"/>
      <c r="C352" s="2"/>
    </row>
    <row r="353" spans="2:3">
      <c r="B353" s="2"/>
      <c r="C353" s="2"/>
    </row>
    <row r="354" spans="2:3">
      <c r="B354" s="2"/>
      <c r="C354" s="2"/>
    </row>
    <row r="355" spans="2:3">
      <c r="B355" s="2"/>
      <c r="C355" s="2"/>
    </row>
    <row r="356" spans="2:3">
      <c r="B356" s="2"/>
      <c r="C356" s="2"/>
    </row>
    <row r="357" spans="2:3">
      <c r="B357" s="2"/>
      <c r="C357" s="2"/>
    </row>
    <row r="358" spans="2:3">
      <c r="B358" s="2"/>
      <c r="C358" s="2"/>
    </row>
    <row r="359" spans="2:3">
      <c r="B359" s="2"/>
      <c r="C359" s="2"/>
    </row>
    <row r="360" spans="2:3">
      <c r="B360" s="2"/>
      <c r="C360" s="2"/>
    </row>
    <row r="361" spans="2:3">
      <c r="B361" s="2"/>
      <c r="C361" s="2"/>
    </row>
    <row r="362" spans="2:3">
      <c r="B362" s="2"/>
      <c r="C362" s="2"/>
    </row>
    <row r="363" spans="2:3">
      <c r="B363" s="2"/>
      <c r="C363" s="2"/>
    </row>
    <row r="364" spans="2:3">
      <c r="B364" s="2"/>
      <c r="C364" s="2"/>
    </row>
    <row r="365" spans="2:3">
      <c r="B365" s="2"/>
      <c r="C365" s="2"/>
    </row>
    <row r="366" spans="2:3">
      <c r="B366" s="2"/>
      <c r="C366" s="2"/>
    </row>
    <row r="367" spans="2:3">
      <c r="B367" s="2"/>
      <c r="C367" s="2"/>
    </row>
    <row r="368" spans="2:3">
      <c r="B368" s="2"/>
      <c r="C368" s="2"/>
    </row>
    <row r="369" spans="2:3">
      <c r="B369" s="2"/>
      <c r="C369" s="2"/>
    </row>
    <row r="370" spans="2:3">
      <c r="B370" s="2"/>
      <c r="C370" s="2"/>
    </row>
    <row r="371" spans="2:3">
      <c r="B371" s="2"/>
      <c r="C371" s="2"/>
    </row>
    <row r="372" spans="2:3">
      <c r="B372" s="2"/>
      <c r="C372" s="2"/>
    </row>
    <row r="373" spans="2:3">
      <c r="B373" s="2"/>
      <c r="C373" s="2"/>
    </row>
    <row r="374" spans="2:3">
      <c r="B374" s="2"/>
      <c r="C374" s="2"/>
    </row>
    <row r="375" spans="2:3">
      <c r="B375" s="2"/>
      <c r="C375" s="2"/>
    </row>
    <row r="376" spans="2:3">
      <c r="B376" s="2"/>
      <c r="C376" s="2"/>
    </row>
    <row r="377" spans="2:3">
      <c r="B377" s="2"/>
      <c r="C377" s="2"/>
    </row>
    <row r="378" spans="2:3">
      <c r="B378" s="2"/>
      <c r="C378" s="2"/>
    </row>
    <row r="379" spans="2:3">
      <c r="B379" s="2"/>
      <c r="C379" s="2"/>
    </row>
    <row r="380" spans="2:3">
      <c r="B380" s="2"/>
      <c r="C380" s="2"/>
    </row>
    <row r="381" spans="2:3">
      <c r="B381" s="2"/>
      <c r="C381" s="2"/>
    </row>
    <row r="382" spans="2:3">
      <c r="B382" s="2"/>
      <c r="C382" s="2"/>
    </row>
    <row r="383" spans="2:3">
      <c r="B383" s="2"/>
      <c r="C383" s="2"/>
    </row>
    <row r="384" spans="2:3">
      <c r="B384" s="2"/>
      <c r="C384" s="2"/>
    </row>
    <row r="385" spans="2:3">
      <c r="B385" s="2"/>
      <c r="C385" s="2"/>
    </row>
    <row r="386" spans="2:3">
      <c r="B386" s="2"/>
      <c r="C386" s="2"/>
    </row>
    <row r="387" spans="2:3">
      <c r="B387" s="2"/>
      <c r="C387" s="2"/>
    </row>
    <row r="388" spans="2:3">
      <c r="B388" s="2"/>
      <c r="C388" s="2"/>
    </row>
    <row r="389" spans="2:3">
      <c r="B389" s="2"/>
      <c r="C389" s="2"/>
    </row>
    <row r="390" spans="2:3">
      <c r="B390" s="2"/>
      <c r="C390" s="2"/>
    </row>
    <row r="391" spans="2:3">
      <c r="B391" s="2"/>
      <c r="C391" s="2"/>
    </row>
    <row r="392" spans="2:3">
      <c r="B392" s="2"/>
      <c r="C392" s="2"/>
    </row>
    <row r="393" spans="2:3">
      <c r="B393" s="2"/>
      <c r="C393" s="2"/>
    </row>
    <row r="394" spans="2:3">
      <c r="B394" s="2"/>
      <c r="C394" s="2"/>
    </row>
    <row r="395" spans="2:3">
      <c r="B395" s="2"/>
      <c r="C395" s="2"/>
    </row>
    <row r="396" spans="2:3">
      <c r="B396" s="2"/>
      <c r="C396" s="2"/>
    </row>
    <row r="397" spans="2:3">
      <c r="B397" s="2"/>
      <c r="C397" s="2"/>
    </row>
    <row r="398" spans="2:3">
      <c r="B398" s="2"/>
      <c r="C398" s="2"/>
    </row>
    <row r="399" spans="2:3">
      <c r="B399" s="2"/>
      <c r="C399" s="2"/>
    </row>
    <row r="400" spans="2:3">
      <c r="B400" s="2"/>
      <c r="C400" s="2"/>
    </row>
    <row r="401" spans="2:3">
      <c r="B401" s="2"/>
      <c r="C401" s="2"/>
    </row>
    <row r="402" spans="2:3">
      <c r="B402" s="2"/>
      <c r="C402" s="2"/>
    </row>
    <row r="403" spans="2:3">
      <c r="B403" s="2"/>
      <c r="C403" s="2"/>
    </row>
    <row r="404" spans="2:3">
      <c r="B404" s="2"/>
      <c r="C404" s="2"/>
    </row>
    <row r="405" spans="2:3">
      <c r="B405" s="2"/>
      <c r="C405" s="2"/>
    </row>
    <row r="406" spans="2:3">
      <c r="B406" s="2"/>
      <c r="C406" s="2"/>
    </row>
    <row r="407" spans="2:3">
      <c r="B407" s="2"/>
      <c r="C407" s="2"/>
    </row>
    <row r="408" spans="2:3">
      <c r="B408" s="2"/>
      <c r="C408" s="2"/>
    </row>
    <row r="409" spans="2:3">
      <c r="B409" s="2"/>
      <c r="C409" s="2"/>
    </row>
    <row r="410" spans="2:3">
      <c r="B410" s="2"/>
      <c r="C410" s="2"/>
    </row>
    <row r="411" spans="2:3">
      <c r="B411" s="2"/>
      <c r="C411" s="2"/>
    </row>
    <row r="412" spans="2:3">
      <c r="B412" s="2"/>
      <c r="C412" s="2"/>
    </row>
    <row r="413" spans="2:3">
      <c r="B413" s="2"/>
      <c r="C413" s="2"/>
    </row>
    <row r="414" spans="2:3">
      <c r="B414" s="2"/>
      <c r="C414" s="2"/>
    </row>
    <row r="415" spans="2:3">
      <c r="B415" s="2"/>
      <c r="C415" s="2"/>
    </row>
    <row r="416" spans="2:3">
      <c r="B416" s="2"/>
      <c r="C416" s="2"/>
    </row>
    <row r="417" spans="2:3">
      <c r="B417" s="2"/>
      <c r="C417" s="2"/>
    </row>
    <row r="418" spans="2:3">
      <c r="B418" s="2"/>
      <c r="C418" s="2"/>
    </row>
    <row r="419" spans="2:3">
      <c r="B419" s="2"/>
      <c r="C419" s="2"/>
    </row>
    <row r="420" spans="2:3">
      <c r="B420" s="2"/>
      <c r="C420" s="2"/>
    </row>
    <row r="421" spans="2:3">
      <c r="B421" s="2"/>
      <c r="C421" s="2"/>
    </row>
    <row r="422" spans="2:3">
      <c r="B422" s="2"/>
      <c r="C422" s="2"/>
    </row>
    <row r="423" spans="2:3">
      <c r="B423" s="2"/>
      <c r="C423" s="2"/>
    </row>
    <row r="424" spans="2:3">
      <c r="B424" s="2"/>
      <c r="C424" s="2"/>
    </row>
    <row r="425" spans="2:3">
      <c r="B425" s="2"/>
      <c r="C425" s="2"/>
    </row>
    <row r="426" spans="2:3">
      <c r="B426" s="2"/>
      <c r="C426" s="2"/>
    </row>
    <row r="427" spans="2:3">
      <c r="B427" s="2"/>
      <c r="C427" s="2"/>
    </row>
    <row r="428" spans="2:3">
      <c r="B428" s="2"/>
      <c r="C428" s="2"/>
    </row>
    <row r="429" spans="2:3">
      <c r="B429" s="2"/>
      <c r="C429" s="2"/>
    </row>
    <row r="430" spans="2:3">
      <c r="B430" s="2"/>
      <c r="C430" s="2"/>
    </row>
    <row r="431" spans="2:3">
      <c r="B431" s="2"/>
      <c r="C431" s="2"/>
    </row>
    <row r="432" spans="2:3">
      <c r="B432" s="2"/>
      <c r="C432" s="2"/>
    </row>
    <row r="433" spans="2:3">
      <c r="B433" s="2"/>
      <c r="C433" s="2"/>
    </row>
    <row r="434" spans="2:3">
      <c r="B434" s="2"/>
      <c r="C434" s="2"/>
    </row>
    <row r="435" spans="2:3">
      <c r="B435" s="2"/>
      <c r="C435" s="2"/>
    </row>
    <row r="436" spans="2:3">
      <c r="B436" s="2"/>
      <c r="C436" s="2"/>
    </row>
    <row r="437" spans="2:3">
      <c r="B437" s="2"/>
      <c r="C437" s="2"/>
    </row>
    <row r="438" spans="2:3">
      <c r="B438" s="2"/>
      <c r="C438" s="2"/>
    </row>
    <row r="439" spans="2:3">
      <c r="B439" s="2"/>
      <c r="C439" s="2"/>
    </row>
    <row r="440" spans="2:3">
      <c r="B440" s="2"/>
      <c r="C440" s="2"/>
    </row>
    <row r="441" spans="2:3">
      <c r="B441" s="2"/>
      <c r="C441" s="2"/>
    </row>
    <row r="442" spans="2:3">
      <c r="B442" s="2"/>
      <c r="C442" s="2"/>
    </row>
    <row r="443" spans="2:3">
      <c r="B443" s="2"/>
      <c r="C443" s="2"/>
    </row>
    <row r="444" spans="2:3">
      <c r="B444" s="2"/>
      <c r="C444" s="2"/>
    </row>
    <row r="445" spans="2:3">
      <c r="B445" s="2"/>
      <c r="C445" s="2"/>
    </row>
    <row r="446" spans="2:3">
      <c r="B446" s="2"/>
      <c r="C446" s="2"/>
    </row>
    <row r="447" spans="2:3">
      <c r="B447" s="2"/>
      <c r="C447" s="2"/>
    </row>
    <row r="448" spans="2:3">
      <c r="B448" s="2"/>
      <c r="C448" s="2"/>
    </row>
    <row r="449" spans="2:3">
      <c r="B449" s="2"/>
      <c r="C449" s="2"/>
    </row>
    <row r="450" spans="2:3">
      <c r="B450" s="2"/>
      <c r="C450" s="2"/>
    </row>
    <row r="451" spans="2:3">
      <c r="B451" s="2"/>
      <c r="C451" s="2"/>
    </row>
    <row r="452" spans="2:3">
      <c r="B452" s="2"/>
      <c r="C452" s="2"/>
    </row>
    <row r="453" spans="2:3">
      <c r="B453" s="2"/>
      <c r="C453" s="2"/>
    </row>
    <row r="454" spans="2:3">
      <c r="B454" s="2"/>
      <c r="C454" s="2"/>
    </row>
    <row r="455" spans="2:3">
      <c r="B455" s="2"/>
      <c r="C455" s="2"/>
    </row>
    <row r="456" spans="2:3">
      <c r="B456" s="2"/>
      <c r="C456" s="2"/>
    </row>
    <row r="457" spans="2:3">
      <c r="B457" s="2"/>
      <c r="C457" s="2"/>
    </row>
    <row r="458" spans="2:3">
      <c r="B458" s="2"/>
      <c r="C458" s="2"/>
    </row>
    <row r="459" spans="2:3">
      <c r="B459" s="2"/>
      <c r="C459" s="2"/>
    </row>
    <row r="460" spans="2:3">
      <c r="B460" s="2"/>
      <c r="C460" s="2"/>
    </row>
    <row r="461" spans="2:3">
      <c r="B461" s="2"/>
      <c r="C461" s="2"/>
    </row>
    <row r="462" spans="2:3">
      <c r="B462" s="2"/>
      <c r="C462" s="2"/>
    </row>
    <row r="463" spans="2:3">
      <c r="B463" s="2"/>
      <c r="C463" s="2"/>
    </row>
    <row r="464" spans="2:3">
      <c r="B464" s="2"/>
      <c r="C464" s="2"/>
    </row>
    <row r="465" spans="2:3">
      <c r="B465" s="2"/>
      <c r="C465" s="2"/>
    </row>
    <row r="466" spans="2:3">
      <c r="B466" s="2"/>
      <c r="C466" s="2"/>
    </row>
    <row r="467" spans="2:3">
      <c r="B467" s="2"/>
      <c r="C467" s="2"/>
    </row>
    <row r="468" spans="2:3">
      <c r="B468" s="2"/>
      <c r="C468" s="2"/>
    </row>
    <row r="469" spans="2:3">
      <c r="B469" s="2"/>
      <c r="C469" s="2"/>
    </row>
    <row r="470" spans="2:3">
      <c r="B470" s="2"/>
      <c r="C470" s="2"/>
    </row>
    <row r="471" spans="2:3">
      <c r="B471" s="2"/>
      <c r="C471" s="2"/>
    </row>
    <row r="472" spans="2:3">
      <c r="B472" s="2"/>
      <c r="C472" s="2"/>
    </row>
    <row r="473" spans="2:3">
      <c r="B473" s="2"/>
      <c r="C473" s="2"/>
    </row>
    <row r="474" spans="2:3">
      <c r="B474" s="2"/>
      <c r="C474" s="2"/>
    </row>
    <row r="475" spans="2:3">
      <c r="B475" s="2"/>
      <c r="C475" s="2"/>
    </row>
    <row r="476" spans="2:3">
      <c r="B476" s="2"/>
      <c r="C476" s="2"/>
    </row>
    <row r="477" spans="2:3">
      <c r="B477" s="2"/>
      <c r="C477" s="2"/>
    </row>
    <row r="478" spans="2:3">
      <c r="B478" s="2"/>
      <c r="C478" s="2"/>
    </row>
    <row r="479" spans="2:3">
      <c r="B479" s="2"/>
      <c r="C479" s="2"/>
    </row>
    <row r="480" spans="2:3">
      <c r="B480" s="2"/>
      <c r="C480" s="2"/>
    </row>
    <row r="481" spans="2:3">
      <c r="B481" s="2"/>
      <c r="C481" s="2"/>
    </row>
    <row r="482" spans="2:3">
      <c r="B482" s="2"/>
      <c r="C482" s="2"/>
    </row>
    <row r="483" spans="2:3">
      <c r="B483" s="2"/>
      <c r="C483" s="2"/>
    </row>
    <row r="484" spans="2:3">
      <c r="B484" s="2"/>
      <c r="C484" s="2"/>
    </row>
    <row r="485" spans="2:3">
      <c r="B485" s="2"/>
      <c r="C485" s="2"/>
    </row>
    <row r="486" spans="2:3">
      <c r="B486" s="2"/>
      <c r="C486" s="2"/>
    </row>
    <row r="487" spans="2:3">
      <c r="B487" s="2"/>
      <c r="C487" s="2"/>
    </row>
    <row r="488" spans="2:3">
      <c r="B488" s="2"/>
      <c r="C488" s="2"/>
    </row>
    <row r="489" spans="2:3">
      <c r="B489" s="2"/>
      <c r="C489" s="2"/>
    </row>
    <row r="490" spans="2:3">
      <c r="B490" s="2"/>
      <c r="C490" s="2"/>
    </row>
    <row r="491" spans="2:3">
      <c r="B491" s="2"/>
      <c r="C491" s="2"/>
    </row>
    <row r="492" spans="2:3">
      <c r="B492" s="2"/>
      <c r="C492" s="2"/>
    </row>
    <row r="493" spans="2:3">
      <c r="B493" s="2"/>
      <c r="C493" s="2"/>
    </row>
    <row r="494" spans="2:3">
      <c r="B494" s="2"/>
      <c r="C494" s="2"/>
    </row>
    <row r="495" spans="2:3">
      <c r="B495" s="2"/>
      <c r="C495" s="2"/>
    </row>
    <row r="496" spans="2:3">
      <c r="B496" s="2"/>
      <c r="C496" s="2"/>
    </row>
    <row r="497" spans="2:3">
      <c r="B497" s="2"/>
      <c r="C497" s="2"/>
    </row>
    <row r="498" spans="2:3">
      <c r="B498" s="2"/>
      <c r="C498" s="2"/>
    </row>
    <row r="499" spans="2:3">
      <c r="B499" s="2"/>
      <c r="C499" s="2"/>
    </row>
    <row r="500" spans="2:3">
      <c r="B500" s="2"/>
      <c r="C500" s="2"/>
    </row>
    <row r="501" spans="2:3">
      <c r="B501" s="2"/>
      <c r="C501" s="2"/>
    </row>
    <row r="502" spans="2:3">
      <c r="B502" s="2"/>
      <c r="C502" s="2"/>
    </row>
    <row r="503" spans="2:3">
      <c r="B503" s="2"/>
      <c r="C503" s="2"/>
    </row>
    <row r="504" spans="2:3">
      <c r="B504" s="2"/>
      <c r="C504" s="2"/>
    </row>
    <row r="505" spans="2:3">
      <c r="B505" s="2"/>
      <c r="C505" s="2"/>
    </row>
    <row r="506" spans="2:3">
      <c r="B506" s="2"/>
      <c r="C506" s="2"/>
    </row>
    <row r="507" spans="2:3">
      <c r="B507" s="2"/>
      <c r="C507" s="2"/>
    </row>
    <row r="508" spans="2:3">
      <c r="B508" s="2"/>
      <c r="C508" s="2"/>
    </row>
    <row r="509" spans="2:3">
      <c r="B509" s="2"/>
      <c r="C509" s="2"/>
    </row>
    <row r="510" spans="2:3">
      <c r="B510" s="2"/>
      <c r="C510" s="2"/>
    </row>
    <row r="511" spans="2:3">
      <c r="B511" s="2"/>
      <c r="C511" s="2"/>
    </row>
    <row r="512" spans="2:3">
      <c r="B512" s="2"/>
      <c r="C512" s="2"/>
    </row>
    <row r="513" spans="2:3">
      <c r="B513" s="2"/>
      <c r="C513" s="2"/>
    </row>
    <row r="514" spans="2:3">
      <c r="B514" s="2"/>
      <c r="C514" s="2"/>
    </row>
    <row r="515" spans="2:3">
      <c r="B515" s="2"/>
      <c r="C515" s="2"/>
    </row>
    <row r="516" spans="2:3">
      <c r="B516" s="2"/>
      <c r="C516" s="2"/>
    </row>
    <row r="517" spans="2:3">
      <c r="B517" s="2"/>
      <c r="C517" s="2"/>
    </row>
    <row r="518" spans="2:3">
      <c r="B518" s="2"/>
      <c r="C518" s="2"/>
    </row>
    <row r="519" spans="2:3">
      <c r="B519" s="2"/>
      <c r="C519" s="2"/>
    </row>
    <row r="520" spans="2:3">
      <c r="B520" s="2"/>
      <c r="C520" s="2"/>
    </row>
    <row r="521" spans="2:3">
      <c r="B521" s="2"/>
      <c r="C521" s="2"/>
    </row>
    <row r="522" spans="2:3">
      <c r="B522" s="2"/>
      <c r="C522" s="2"/>
    </row>
    <row r="523" spans="2:3">
      <c r="B523" s="2"/>
      <c r="C523" s="2"/>
    </row>
    <row r="524" spans="2:3">
      <c r="B524" s="2"/>
      <c r="C524" s="2"/>
    </row>
    <row r="525" spans="2:3">
      <c r="B525" s="2"/>
      <c r="C525" s="2"/>
    </row>
    <row r="526" spans="2:3">
      <c r="B526" s="2"/>
      <c r="C526" s="2"/>
    </row>
    <row r="527" spans="2:3">
      <c r="B527" s="2"/>
      <c r="C527" s="2"/>
    </row>
    <row r="528" spans="2:3">
      <c r="B528" s="2"/>
      <c r="C528" s="2"/>
    </row>
    <row r="529" spans="2:3">
      <c r="B529" s="2"/>
      <c r="C529" s="2"/>
    </row>
    <row r="530" spans="2:3">
      <c r="B530" s="2"/>
      <c r="C530" s="2"/>
    </row>
    <row r="531" spans="2:3">
      <c r="B531" s="2"/>
      <c r="C531" s="2"/>
    </row>
    <row r="532" spans="2:3">
      <c r="B532" s="2"/>
      <c r="C532" s="2"/>
    </row>
    <row r="533" spans="2:3">
      <c r="B533" s="2"/>
      <c r="C533" s="2"/>
    </row>
    <row r="534" spans="2:3">
      <c r="B534" s="2"/>
      <c r="C534" s="2"/>
    </row>
    <row r="535" spans="2:3">
      <c r="B535" s="2"/>
      <c r="C535" s="2"/>
    </row>
    <row r="536" spans="2:3">
      <c r="B536" s="2"/>
      <c r="C536" s="2"/>
    </row>
    <row r="537" spans="2:3">
      <c r="B537" s="2"/>
      <c r="C537" s="2"/>
    </row>
    <row r="538" spans="2:3">
      <c r="B538" s="2"/>
      <c r="C538" s="2"/>
    </row>
    <row r="539" spans="2:3">
      <c r="B539" s="2"/>
      <c r="C539" s="2"/>
    </row>
    <row r="540" spans="2:3">
      <c r="B540" s="2"/>
      <c r="C540" s="2"/>
    </row>
    <row r="541" spans="2:3">
      <c r="B541" s="2"/>
      <c r="C541" s="2"/>
    </row>
    <row r="542" spans="2:3">
      <c r="B542" s="2"/>
      <c r="C542" s="2"/>
    </row>
    <row r="543" spans="2:3">
      <c r="B543" s="2"/>
      <c r="C543" s="2"/>
    </row>
    <row r="544" spans="2:3">
      <c r="B544" s="2"/>
      <c r="C544" s="2"/>
    </row>
    <row r="545" spans="2:3">
      <c r="B545" s="2"/>
      <c r="C545" s="2"/>
    </row>
    <row r="546" spans="2:3">
      <c r="B546" s="2"/>
      <c r="C546" s="2"/>
    </row>
    <row r="547" spans="2:3">
      <c r="B547" s="2"/>
      <c r="C547" s="2"/>
    </row>
    <row r="548" spans="2:3">
      <c r="B548" s="2"/>
      <c r="C548" s="2"/>
    </row>
    <row r="549" spans="2:3">
      <c r="B549" s="2"/>
      <c r="C549" s="2"/>
    </row>
    <row r="550" spans="2:3">
      <c r="B550" s="2"/>
      <c r="C550" s="2"/>
    </row>
    <row r="551" spans="2:3">
      <c r="B551" s="2"/>
      <c r="C551" s="2"/>
    </row>
    <row r="552" spans="2:3">
      <c r="B552" s="2"/>
      <c r="C552" s="2"/>
    </row>
    <row r="553" spans="2:3">
      <c r="B553" s="2"/>
      <c r="C553" s="2"/>
    </row>
    <row r="554" spans="2:3">
      <c r="B554" s="2"/>
      <c r="C554" s="2"/>
    </row>
    <row r="555" spans="2:3">
      <c r="B555" s="2"/>
      <c r="C555" s="2"/>
    </row>
    <row r="556" spans="2:3">
      <c r="B556" s="2"/>
      <c r="C556" s="2"/>
    </row>
    <row r="557" spans="2:3">
      <c r="B557" s="2"/>
      <c r="C557" s="2"/>
    </row>
    <row r="558" spans="2:3">
      <c r="B558" s="2"/>
      <c r="C558" s="2"/>
    </row>
    <row r="559" spans="2:3">
      <c r="B559" s="2"/>
      <c r="C559" s="2"/>
    </row>
    <row r="560" spans="2:3">
      <c r="B560" s="2"/>
      <c r="C560" s="2"/>
    </row>
    <row r="561" spans="2:3">
      <c r="B561" s="2"/>
      <c r="C561" s="2"/>
    </row>
    <row r="562" spans="2:3">
      <c r="B562" s="2"/>
      <c r="C562" s="2"/>
    </row>
    <row r="563" spans="2:3">
      <c r="B563" s="2"/>
      <c r="C563" s="2"/>
    </row>
    <row r="564" spans="2:3">
      <c r="B564" s="2"/>
      <c r="C564" s="2"/>
    </row>
    <row r="565" spans="2:3">
      <c r="B565" s="2"/>
      <c r="C565" s="2"/>
    </row>
    <row r="566" spans="2:3">
      <c r="B566" s="2"/>
      <c r="C566" s="2"/>
    </row>
    <row r="567" spans="2:3">
      <c r="B567" s="2"/>
      <c r="C567" s="2"/>
    </row>
    <row r="568" spans="2:3">
      <c r="B568" s="2"/>
      <c r="C568" s="2"/>
    </row>
    <row r="569" spans="2:3">
      <c r="B569" s="2"/>
      <c r="C569" s="2"/>
    </row>
    <row r="570" spans="2:3">
      <c r="B570" s="2"/>
      <c r="C570" s="2"/>
    </row>
    <row r="571" spans="2:3">
      <c r="B571" s="2"/>
      <c r="C571" s="2"/>
    </row>
    <row r="572" spans="2:3">
      <c r="B572" s="2"/>
      <c r="C572" s="2"/>
    </row>
    <row r="573" spans="2:3">
      <c r="B573" s="2"/>
      <c r="C573" s="2"/>
    </row>
    <row r="574" spans="2:3">
      <c r="B574" s="2"/>
      <c r="C574" s="2"/>
    </row>
    <row r="575" spans="2:3">
      <c r="B575" s="2"/>
      <c r="C575" s="2"/>
    </row>
    <row r="576" spans="2:3">
      <c r="B576" s="2"/>
      <c r="C576" s="2"/>
    </row>
    <row r="577" spans="2:3">
      <c r="B577" s="2"/>
      <c r="C577" s="2"/>
    </row>
    <row r="578" spans="2:3">
      <c r="B578" s="2"/>
      <c r="C578" s="2"/>
    </row>
    <row r="579" spans="2:3">
      <c r="B579" s="2"/>
      <c r="C579" s="2"/>
    </row>
    <row r="580" spans="2:3">
      <c r="B580" s="2"/>
      <c r="C580" s="2"/>
    </row>
    <row r="581" spans="2:3">
      <c r="B581" s="2"/>
      <c r="C581" s="2"/>
    </row>
    <row r="582" spans="2:3">
      <c r="B582" s="2"/>
      <c r="C582" s="2"/>
    </row>
    <row r="583" spans="2:3">
      <c r="B583" s="2"/>
      <c r="C583" s="2"/>
    </row>
    <row r="584" spans="2:3">
      <c r="B584" s="2"/>
      <c r="C584" s="2"/>
    </row>
    <row r="585" spans="2:3">
      <c r="B585" s="2"/>
      <c r="C585" s="2"/>
    </row>
    <row r="586" spans="2:3">
      <c r="B586" s="2"/>
      <c r="C586" s="2"/>
    </row>
    <row r="587" spans="2:3">
      <c r="B587" s="2"/>
      <c r="C587" s="2"/>
    </row>
    <row r="588" spans="2:3">
      <c r="B588" s="2"/>
      <c r="C588" s="2"/>
    </row>
    <row r="589" spans="2:3">
      <c r="B589" s="2"/>
      <c r="C589" s="2"/>
    </row>
    <row r="590" spans="2:3">
      <c r="B590" s="2"/>
      <c r="C590" s="2"/>
    </row>
    <row r="591" spans="2:3">
      <c r="B591" s="2"/>
      <c r="C591" s="2"/>
    </row>
    <row r="592" spans="2:3">
      <c r="B592" s="2"/>
      <c r="C592" s="2"/>
    </row>
    <row r="593" spans="2:3">
      <c r="B593" s="2"/>
      <c r="C593" s="2"/>
    </row>
    <row r="594" spans="2:3">
      <c r="B594" s="2"/>
      <c r="C594" s="2"/>
    </row>
    <row r="595" spans="2:3">
      <c r="B595" s="2"/>
      <c r="C595" s="2"/>
    </row>
    <row r="596" spans="2:3">
      <c r="B596" s="2"/>
      <c r="C596" s="2"/>
    </row>
    <row r="597" spans="2:3">
      <c r="B597" s="2"/>
      <c r="C597" s="2"/>
    </row>
    <row r="598" spans="2:3">
      <c r="B598" s="2"/>
      <c r="C598" s="2"/>
    </row>
    <row r="599" spans="2:3">
      <c r="B599" s="2"/>
      <c r="C599" s="2"/>
    </row>
    <row r="600" spans="2:3">
      <c r="B600" s="2"/>
      <c r="C600" s="2"/>
    </row>
    <row r="601" spans="2:3">
      <c r="B601" s="2"/>
      <c r="C601" s="2"/>
    </row>
    <row r="602" spans="2:3">
      <c r="B602" s="2"/>
      <c r="C602" s="2"/>
    </row>
    <row r="603" spans="2:3">
      <c r="B603" s="2"/>
      <c r="C603" s="2"/>
    </row>
    <row r="604" spans="2:3">
      <c r="B604" s="2"/>
      <c r="C604" s="2"/>
    </row>
    <row r="605" spans="2:3">
      <c r="B605" s="2"/>
      <c r="C605" s="2"/>
    </row>
    <row r="606" spans="2:3">
      <c r="B606" s="2"/>
      <c r="C606" s="2"/>
    </row>
    <row r="607" spans="2:3">
      <c r="B607" s="2"/>
      <c r="C607" s="2"/>
    </row>
    <row r="608" spans="2:3">
      <c r="B608" s="2"/>
      <c r="C608" s="2"/>
    </row>
    <row r="609" spans="2:3">
      <c r="B609" s="2"/>
      <c r="C609" s="2"/>
    </row>
    <row r="610" spans="2:3">
      <c r="B610" s="2"/>
      <c r="C610" s="2"/>
    </row>
    <row r="611" spans="2:3">
      <c r="B611" s="2"/>
      <c r="C611" s="2"/>
    </row>
    <row r="612" spans="2:3">
      <c r="B612" s="2"/>
      <c r="C612" s="2"/>
    </row>
    <row r="613" spans="2:3">
      <c r="B613" s="2"/>
      <c r="C613" s="2"/>
    </row>
    <row r="614" spans="2:3">
      <c r="B614" s="2"/>
      <c r="C614" s="2"/>
    </row>
    <row r="615" spans="2:3">
      <c r="B615" s="2"/>
      <c r="C615" s="2"/>
    </row>
    <row r="616" spans="2:3">
      <c r="B616" s="2"/>
      <c r="C616" s="2"/>
    </row>
    <row r="617" spans="2:3">
      <c r="B617" s="2"/>
      <c r="C617" s="2"/>
    </row>
    <row r="618" spans="2:3">
      <c r="B618" s="2"/>
      <c r="C618" s="2"/>
    </row>
    <row r="619" spans="2:3">
      <c r="B619" s="2"/>
      <c r="C619" s="2"/>
    </row>
    <row r="620" spans="2:3">
      <c r="B620" s="2"/>
      <c r="C620" s="2"/>
    </row>
    <row r="621" spans="2:3">
      <c r="B621" s="2"/>
      <c r="C621" s="2"/>
    </row>
    <row r="622" spans="2:3">
      <c r="B622" s="2"/>
      <c r="C622" s="2"/>
    </row>
    <row r="623" spans="2:3">
      <c r="B623" s="2"/>
      <c r="C623" s="2"/>
    </row>
    <row r="624" spans="2:3">
      <c r="B624" s="2"/>
      <c r="C624" s="2"/>
    </row>
    <row r="625" spans="2:3">
      <c r="B625" s="2"/>
      <c r="C625" s="2"/>
    </row>
    <row r="626" spans="2:3">
      <c r="B626" s="2"/>
      <c r="C626" s="2"/>
    </row>
    <row r="627" spans="2:3">
      <c r="B627" s="2"/>
      <c r="C627" s="2"/>
    </row>
    <row r="628" spans="2:3">
      <c r="B628" s="2"/>
      <c r="C628" s="2"/>
    </row>
    <row r="629" spans="2:3">
      <c r="B629" s="2"/>
      <c r="C629" s="2"/>
    </row>
    <row r="630" spans="2:3">
      <c r="B630" s="2"/>
      <c r="C630" s="2"/>
    </row>
    <row r="631" spans="2:3">
      <c r="B631" s="2"/>
      <c r="C631" s="2"/>
    </row>
    <row r="632" spans="2:3">
      <c r="B632" s="2"/>
      <c r="C632" s="2"/>
    </row>
    <row r="633" spans="2:3">
      <c r="B633" s="2"/>
      <c r="C633" s="2"/>
    </row>
    <row r="634" spans="2:3">
      <c r="B634" s="2"/>
      <c r="C634" s="2"/>
    </row>
    <row r="635" spans="2:3">
      <c r="B635" s="2"/>
      <c r="C635" s="2"/>
    </row>
    <row r="636" spans="2:3">
      <c r="B636" s="2"/>
      <c r="C636" s="2"/>
    </row>
    <row r="637" spans="2:3">
      <c r="B637" s="2"/>
      <c r="C637" s="2"/>
    </row>
    <row r="638" spans="2:3">
      <c r="B638" s="2"/>
      <c r="C638" s="2"/>
    </row>
    <row r="639" spans="2:3">
      <c r="B639" s="2"/>
      <c r="C639" s="2"/>
    </row>
    <row r="640" spans="2:3">
      <c r="B640" s="2"/>
      <c r="C640" s="2"/>
    </row>
    <row r="641" spans="2:3">
      <c r="B641" s="2"/>
      <c r="C641" s="2"/>
    </row>
    <row r="642" spans="2:3">
      <c r="B642" s="2"/>
      <c r="C642" s="2"/>
    </row>
    <row r="643" spans="2:3">
      <c r="B643" s="2"/>
      <c r="C643" s="2"/>
    </row>
    <row r="644" spans="2:3">
      <c r="B644" s="2"/>
      <c r="C644" s="2"/>
    </row>
    <row r="645" spans="2:3">
      <c r="B645" s="2"/>
      <c r="C645" s="2"/>
    </row>
    <row r="646" spans="2:3">
      <c r="B646" s="2"/>
      <c r="C646" s="2"/>
    </row>
    <row r="647" spans="2:3">
      <c r="B647" s="2"/>
      <c r="C647" s="2"/>
    </row>
    <row r="648" spans="2:3">
      <c r="B648" s="2"/>
      <c r="C648" s="2"/>
    </row>
    <row r="649" spans="2:3">
      <c r="B649" s="2"/>
      <c r="C649" s="2"/>
    </row>
    <row r="650" spans="2:3">
      <c r="B650" s="2"/>
      <c r="C650" s="2"/>
    </row>
    <row r="651" spans="2:3">
      <c r="B651" s="2"/>
      <c r="C651" s="2"/>
    </row>
    <row r="652" spans="2:3">
      <c r="B652" s="2"/>
      <c r="C652" s="2"/>
    </row>
    <row r="653" spans="2:3">
      <c r="B653" s="2"/>
      <c r="C653" s="2"/>
    </row>
    <row r="654" spans="2:3">
      <c r="B654" s="2"/>
      <c r="C654" s="2"/>
    </row>
    <row r="655" spans="2:3">
      <c r="B655" s="2"/>
      <c r="C655" s="2"/>
    </row>
    <row r="656" spans="2:3">
      <c r="B656" s="2"/>
      <c r="C656" s="2"/>
    </row>
    <row r="657" spans="2:3">
      <c r="B657" s="2"/>
      <c r="C657" s="2"/>
    </row>
    <row r="658" spans="2:3">
      <c r="B658" s="2"/>
      <c r="C658" s="2"/>
    </row>
    <row r="659" spans="2:3">
      <c r="B659" s="2"/>
      <c r="C659" s="2"/>
    </row>
    <row r="660" spans="2:3">
      <c r="B660" s="2"/>
      <c r="C660" s="2"/>
    </row>
    <row r="661" spans="2:3">
      <c r="B661" s="2"/>
      <c r="C661" s="2"/>
    </row>
    <row r="662" spans="2:3">
      <c r="B662" s="2"/>
      <c r="C662" s="2"/>
    </row>
    <row r="663" spans="2:3">
      <c r="B663" s="2"/>
      <c r="C663" s="2"/>
    </row>
    <row r="664" spans="2:3">
      <c r="B664" s="2"/>
      <c r="C664" s="2"/>
    </row>
    <row r="665" spans="2:3">
      <c r="B665" s="2"/>
      <c r="C665" s="2"/>
    </row>
    <row r="666" spans="2:3">
      <c r="B666" s="2"/>
      <c r="C666" s="2"/>
    </row>
    <row r="667" spans="2:3">
      <c r="B667" s="2"/>
      <c r="C667" s="2"/>
    </row>
    <row r="668" spans="2:3">
      <c r="B668" s="2"/>
      <c r="C668" s="2"/>
    </row>
    <row r="669" spans="2:3">
      <c r="B669" s="2"/>
      <c r="C669" s="2"/>
    </row>
    <row r="670" spans="2:3">
      <c r="B670" s="2"/>
      <c r="C670" s="2"/>
    </row>
    <row r="671" spans="2:3">
      <c r="B671" s="2"/>
      <c r="C671" s="2"/>
    </row>
    <row r="672" spans="2:3">
      <c r="B672" s="2"/>
      <c r="C672" s="2"/>
    </row>
    <row r="673" spans="2:3">
      <c r="B673" s="2"/>
      <c r="C673" s="2"/>
    </row>
    <row r="674" spans="2:3">
      <c r="B674" s="2"/>
      <c r="C674" s="2"/>
    </row>
    <row r="675" spans="2:3">
      <c r="B675" s="2"/>
      <c r="C675" s="2"/>
    </row>
    <row r="676" spans="2:3">
      <c r="B676" s="2"/>
      <c r="C676" s="2"/>
    </row>
    <row r="677" spans="2:3">
      <c r="B677" s="2"/>
      <c r="C677" s="2"/>
    </row>
    <row r="678" spans="2:3">
      <c r="B678" s="2"/>
      <c r="C678" s="2"/>
    </row>
    <row r="679" spans="2:3">
      <c r="B679" s="2"/>
      <c r="C679" s="2"/>
    </row>
    <row r="680" spans="2:3">
      <c r="B680" s="2"/>
      <c r="C680" s="2"/>
    </row>
    <row r="681" spans="2:3">
      <c r="B681" s="2"/>
      <c r="C681" s="2"/>
    </row>
    <row r="682" spans="2:3">
      <c r="B682" s="2"/>
      <c r="C682" s="2"/>
    </row>
    <row r="683" spans="2:3">
      <c r="B683" s="2"/>
      <c r="C683" s="2"/>
    </row>
    <row r="684" spans="2:3">
      <c r="B684" s="2"/>
      <c r="C684" s="2"/>
    </row>
    <row r="685" spans="2:3">
      <c r="B685" s="2"/>
      <c r="C685" s="2"/>
    </row>
    <row r="686" spans="2:3">
      <c r="B686" s="2"/>
      <c r="C686" s="2"/>
    </row>
    <row r="687" spans="2:3">
      <c r="B687" s="2"/>
      <c r="C687" s="2"/>
    </row>
    <row r="688" spans="2:3">
      <c r="B688" s="2"/>
      <c r="C688" s="2"/>
    </row>
    <row r="689" spans="2:3">
      <c r="B689" s="2"/>
      <c r="C689" s="2"/>
    </row>
    <row r="690" spans="2:3">
      <c r="B690" s="2"/>
      <c r="C690" s="2"/>
    </row>
    <row r="691" spans="2:3">
      <c r="B691" s="2"/>
      <c r="C691" s="2"/>
    </row>
    <row r="692" spans="2:3">
      <c r="B692" s="2"/>
      <c r="C692" s="2"/>
    </row>
    <row r="693" spans="2:3">
      <c r="B693" s="2"/>
      <c r="C693" s="2"/>
    </row>
    <row r="694" spans="2:3">
      <c r="B694" s="2"/>
      <c r="C694" s="2"/>
    </row>
    <row r="695" spans="2:3">
      <c r="B695" s="2"/>
      <c r="C695" s="2"/>
    </row>
    <row r="696" spans="2:3">
      <c r="B696" s="2"/>
      <c r="C696" s="2"/>
    </row>
    <row r="697" spans="2:3">
      <c r="B697" s="2"/>
      <c r="C697" s="2"/>
    </row>
    <row r="698" spans="2:3">
      <c r="B698" s="2"/>
      <c r="C698" s="2"/>
    </row>
    <row r="699" spans="2:3">
      <c r="B699" s="2"/>
      <c r="C699" s="2"/>
    </row>
    <row r="700" spans="2:3">
      <c r="B700" s="2"/>
      <c r="C700" s="2"/>
    </row>
    <row r="701" spans="2:3">
      <c r="B701" s="2"/>
      <c r="C701" s="2"/>
    </row>
    <row r="702" spans="2:3">
      <c r="B702" s="2"/>
      <c r="C702" s="2"/>
    </row>
    <row r="703" spans="2:3">
      <c r="B703" s="2"/>
      <c r="C703" s="2"/>
    </row>
    <row r="704" spans="2:3">
      <c r="B704" s="2"/>
      <c r="C704" s="2"/>
    </row>
    <row r="705" spans="2:3">
      <c r="B705" s="2"/>
      <c r="C705" s="2"/>
    </row>
    <row r="706" spans="2:3">
      <c r="B706" s="2"/>
      <c r="C706" s="2"/>
    </row>
    <row r="707" spans="2:3">
      <c r="B707" s="2"/>
      <c r="C707" s="2"/>
    </row>
    <row r="708" spans="2:3">
      <c r="B708" s="2"/>
      <c r="C708" s="2"/>
    </row>
    <row r="709" spans="2:3">
      <c r="B709" s="2"/>
      <c r="C709" s="2"/>
    </row>
    <row r="710" spans="2:3">
      <c r="B710" s="2"/>
      <c r="C710" s="2"/>
    </row>
    <row r="711" spans="2:3">
      <c r="B711" s="2"/>
      <c r="C711" s="2"/>
    </row>
    <row r="712" spans="2:3">
      <c r="B712" s="2"/>
      <c r="C712" s="2"/>
    </row>
    <row r="713" spans="2:3">
      <c r="B713" s="2"/>
      <c r="C713" s="2"/>
    </row>
    <row r="714" spans="2:3">
      <c r="B714" s="2"/>
      <c r="C714" s="2"/>
    </row>
    <row r="715" spans="2:3">
      <c r="B715" s="2"/>
      <c r="C715" s="2"/>
    </row>
    <row r="716" spans="2:3">
      <c r="B716" s="2"/>
      <c r="C716" s="2"/>
    </row>
    <row r="717" spans="2:3">
      <c r="B717" s="2"/>
      <c r="C717" s="2"/>
    </row>
    <row r="718" spans="2:3">
      <c r="B718" s="2"/>
      <c r="C718" s="2"/>
    </row>
    <row r="719" spans="2:3">
      <c r="B719" s="2"/>
      <c r="C719" s="2"/>
    </row>
    <row r="720" spans="2:3">
      <c r="B720" s="2"/>
      <c r="C720" s="2"/>
    </row>
    <row r="721" spans="2:3">
      <c r="B721" s="2"/>
      <c r="C721" s="2"/>
    </row>
    <row r="722" spans="2:3">
      <c r="B722" s="2"/>
      <c r="C722" s="2"/>
    </row>
    <row r="723" spans="2:3">
      <c r="B723" s="2"/>
      <c r="C723" s="2"/>
    </row>
    <row r="724" spans="2:3">
      <c r="B724" s="2"/>
      <c r="C724" s="2"/>
    </row>
    <row r="725" spans="2:3">
      <c r="B725" s="2"/>
      <c r="C725" s="2"/>
    </row>
    <row r="726" spans="2:3">
      <c r="B726" s="2"/>
      <c r="C726" s="2"/>
    </row>
    <row r="727" spans="2:3">
      <c r="B727" s="2"/>
      <c r="C727" s="2"/>
    </row>
    <row r="728" spans="2:3">
      <c r="B728" s="2"/>
      <c r="C728" s="2"/>
    </row>
    <row r="729" spans="2:3">
      <c r="B729" s="2"/>
      <c r="C729" s="2"/>
    </row>
    <row r="730" spans="2:3">
      <c r="B730" s="2"/>
      <c r="C730" s="2"/>
    </row>
    <row r="731" spans="2:3">
      <c r="B731" s="2"/>
      <c r="C731" s="2"/>
    </row>
    <row r="732" spans="2:3">
      <c r="B732" s="2"/>
      <c r="C732" s="2"/>
    </row>
    <row r="733" spans="2:3">
      <c r="B733" s="2"/>
      <c r="C733" s="2"/>
    </row>
    <row r="734" spans="2:3">
      <c r="B734" s="2"/>
      <c r="C734" s="2"/>
    </row>
    <row r="735" spans="2:3">
      <c r="B735" s="2"/>
      <c r="C735" s="2"/>
    </row>
    <row r="736" spans="2:3">
      <c r="B736" s="2"/>
      <c r="C736" s="2"/>
    </row>
    <row r="737" spans="2:3">
      <c r="B737" s="2"/>
      <c r="C737" s="2"/>
    </row>
    <row r="738" spans="2:3">
      <c r="B738" s="2"/>
      <c r="C738" s="2"/>
    </row>
    <row r="739" spans="2:3">
      <c r="B739" s="2"/>
      <c r="C739" s="2"/>
    </row>
    <row r="740" spans="2:3">
      <c r="B740" s="2"/>
      <c r="C740" s="2"/>
    </row>
    <row r="741" spans="2:3">
      <c r="B741" s="2"/>
      <c r="C741" s="2"/>
    </row>
    <row r="742" spans="2:3">
      <c r="B742" s="2"/>
      <c r="C742" s="2"/>
    </row>
    <row r="743" spans="2:3">
      <c r="B743" s="2"/>
      <c r="C743" s="2"/>
    </row>
    <row r="744" spans="2:3">
      <c r="B744" s="2"/>
      <c r="C744" s="2"/>
    </row>
    <row r="745" spans="2:3">
      <c r="B745" s="2"/>
      <c r="C745" s="2"/>
    </row>
    <row r="746" spans="2:3">
      <c r="B746" s="2"/>
      <c r="C746" s="2"/>
    </row>
    <row r="747" spans="2:3">
      <c r="B747" s="2"/>
      <c r="C747" s="2"/>
    </row>
    <row r="748" spans="2:3">
      <c r="B748" s="2"/>
      <c r="C748" s="2"/>
    </row>
    <row r="749" spans="2:3">
      <c r="B749" s="2"/>
      <c r="C749" s="2"/>
    </row>
    <row r="750" spans="2:3">
      <c r="B750" s="2"/>
      <c r="C750" s="2"/>
    </row>
    <row r="751" spans="2:3">
      <c r="B751" s="2"/>
      <c r="C751" s="2"/>
    </row>
    <row r="752" spans="2:3">
      <c r="B752" s="2"/>
      <c r="C752" s="2"/>
    </row>
    <row r="753" spans="2:3">
      <c r="B753" s="2"/>
      <c r="C753" s="2"/>
    </row>
    <row r="754" spans="2:3">
      <c r="B754" s="2"/>
      <c r="C754" s="2"/>
    </row>
    <row r="755" spans="2:3">
      <c r="B755" s="2"/>
      <c r="C755" s="2"/>
    </row>
    <row r="756" spans="2:3">
      <c r="B756" s="2"/>
      <c r="C756" s="2"/>
    </row>
    <row r="757" spans="2:3">
      <c r="B757" s="2"/>
      <c r="C757" s="2"/>
    </row>
    <row r="758" spans="2:3">
      <c r="B758" s="2"/>
      <c r="C758" s="2"/>
    </row>
    <row r="759" spans="2:3">
      <c r="B759" s="2"/>
      <c r="C759" s="2"/>
    </row>
    <row r="760" spans="2:3">
      <c r="B760" s="2"/>
      <c r="C760" s="2"/>
    </row>
    <row r="761" spans="2:3">
      <c r="B761" s="2"/>
      <c r="C761" s="2"/>
    </row>
    <row r="762" spans="2:3">
      <c r="B762" s="2"/>
      <c r="C762" s="2"/>
    </row>
    <row r="763" spans="2:3">
      <c r="B763" s="2"/>
      <c r="C763" s="2"/>
    </row>
    <row r="764" spans="2:3">
      <c r="B764" s="2"/>
      <c r="C764" s="2"/>
    </row>
    <row r="765" spans="2:3">
      <c r="B765" s="2"/>
      <c r="C765" s="2"/>
    </row>
    <row r="766" spans="2:3">
      <c r="B766" s="2"/>
      <c r="C766" s="2"/>
    </row>
    <row r="767" spans="2:3">
      <c r="B767" s="2"/>
      <c r="C767" s="2"/>
    </row>
    <row r="768" spans="2:3">
      <c r="B768" s="2"/>
      <c r="C768" s="2"/>
    </row>
    <row r="769" spans="2:3">
      <c r="B769" s="2"/>
      <c r="C769" s="2"/>
    </row>
    <row r="770" spans="2:3">
      <c r="B770" s="2"/>
      <c r="C770" s="2"/>
    </row>
    <row r="771" spans="2:3">
      <c r="B771" s="2"/>
      <c r="C771" s="2"/>
    </row>
    <row r="772" spans="2:3">
      <c r="B772" s="2"/>
      <c r="C772" s="2"/>
    </row>
    <row r="773" spans="2:3">
      <c r="B773" s="2"/>
      <c r="C773" s="2"/>
    </row>
    <row r="774" spans="2:3">
      <c r="B774" s="2"/>
      <c r="C774" s="2"/>
    </row>
    <row r="775" spans="2:3">
      <c r="B775" s="2"/>
      <c r="C775" s="2"/>
    </row>
    <row r="776" spans="2:3">
      <c r="B776" s="2"/>
      <c r="C776" s="2"/>
    </row>
    <row r="777" spans="2:3">
      <c r="B777" s="2"/>
      <c r="C777" s="2"/>
    </row>
    <row r="778" spans="2:3">
      <c r="B778" s="2"/>
      <c r="C778" s="2"/>
    </row>
    <row r="779" spans="2:3">
      <c r="B779" s="2"/>
      <c r="C779" s="2"/>
    </row>
    <row r="780" spans="2:3">
      <c r="B780" s="2"/>
      <c r="C780" s="2"/>
    </row>
    <row r="781" spans="2:3">
      <c r="B781" s="2"/>
      <c r="C781" s="2"/>
    </row>
    <row r="782" spans="2:3">
      <c r="B782" s="2"/>
      <c r="C782" s="2"/>
    </row>
    <row r="783" spans="2:3">
      <c r="B783" s="2"/>
      <c r="C783" s="2"/>
    </row>
    <row r="784" spans="2:3">
      <c r="B784" s="2"/>
      <c r="C784" s="2"/>
    </row>
    <row r="785" spans="2:3">
      <c r="B785" s="2"/>
      <c r="C785" s="2"/>
    </row>
    <row r="786" spans="2:3">
      <c r="B786" s="2"/>
      <c r="C786" s="2"/>
    </row>
    <row r="787" spans="2:3">
      <c r="B787" s="2"/>
      <c r="C787" s="2"/>
    </row>
    <row r="788" spans="2:3">
      <c r="B788" s="2"/>
      <c r="C788" s="2"/>
    </row>
    <row r="789" spans="2:3">
      <c r="B789" s="2"/>
      <c r="C789" s="2"/>
    </row>
    <row r="790" spans="2:3">
      <c r="B790" s="2"/>
      <c r="C790" s="2"/>
    </row>
    <row r="791" spans="2:3">
      <c r="B791" s="2"/>
      <c r="C791" s="2"/>
    </row>
    <row r="792" spans="2:3">
      <c r="B792" s="2"/>
      <c r="C792" s="2"/>
    </row>
    <row r="793" spans="2:3">
      <c r="B793" s="2"/>
      <c r="C793" s="2"/>
    </row>
    <row r="794" spans="2:3">
      <c r="B794" s="2"/>
      <c r="C794" s="2"/>
    </row>
    <row r="795" spans="2:3">
      <c r="B795" s="2"/>
      <c r="C795" s="2"/>
    </row>
    <row r="796" spans="2:3">
      <c r="B796" s="2"/>
      <c r="C796" s="2"/>
    </row>
    <row r="797" spans="2:3">
      <c r="B797" s="2"/>
      <c r="C797" s="2"/>
    </row>
    <row r="798" spans="2:3">
      <c r="B798" s="2"/>
      <c r="C798" s="2"/>
    </row>
    <row r="799" spans="2:3">
      <c r="B799" s="2"/>
      <c r="C799" s="2"/>
    </row>
    <row r="800" spans="2:3">
      <c r="B800" s="2"/>
      <c r="C800" s="2"/>
    </row>
    <row r="801" spans="2:3">
      <c r="B801" s="2"/>
      <c r="C801" s="2"/>
    </row>
    <row r="802" spans="2:3">
      <c r="B802" s="2"/>
      <c r="C802" s="2"/>
    </row>
    <row r="803" spans="2:3">
      <c r="B803" s="2"/>
      <c r="C803" s="2"/>
    </row>
    <row r="804" spans="2:3">
      <c r="B804" s="2"/>
      <c r="C804" s="2"/>
    </row>
    <row r="805" spans="2:3">
      <c r="B805" s="2"/>
      <c r="C805" s="2"/>
    </row>
    <row r="806" spans="2:3">
      <c r="B806" s="2"/>
      <c r="C806" s="2"/>
    </row>
    <row r="807" spans="2:3">
      <c r="B807" s="2"/>
      <c r="C807" s="2"/>
    </row>
    <row r="808" spans="2:3">
      <c r="B808" s="2"/>
      <c r="C808" s="2"/>
    </row>
    <row r="809" spans="2:3">
      <c r="B809" s="2"/>
      <c r="C809" s="2"/>
    </row>
    <row r="810" spans="2:3">
      <c r="B810" s="2"/>
      <c r="C810" s="2"/>
    </row>
    <row r="811" spans="2:3">
      <c r="B811" s="2"/>
      <c r="C811" s="2"/>
    </row>
    <row r="812" spans="2:3">
      <c r="B812" s="2"/>
      <c r="C812" s="2"/>
    </row>
    <row r="813" spans="2:3">
      <c r="B813" s="2"/>
      <c r="C813" s="2"/>
    </row>
    <row r="814" spans="2:3">
      <c r="B814" s="2"/>
      <c r="C814" s="2"/>
    </row>
    <row r="815" spans="2:3">
      <c r="B815" s="2"/>
      <c r="C815" s="2"/>
    </row>
    <row r="816" spans="2:3">
      <c r="B816" s="2"/>
      <c r="C816" s="2"/>
    </row>
    <row r="817" spans="2:3">
      <c r="B817" s="2"/>
      <c r="C817" s="2"/>
    </row>
    <row r="818" spans="2:3">
      <c r="B818" s="2"/>
      <c r="C818" s="2"/>
    </row>
    <row r="819" spans="2:3">
      <c r="B819" s="2"/>
      <c r="C819" s="2"/>
    </row>
    <row r="820" spans="2:3">
      <c r="B820" s="2"/>
      <c r="C820" s="2"/>
    </row>
    <row r="821" spans="2:3">
      <c r="B821" s="2"/>
      <c r="C821" s="2"/>
    </row>
    <row r="822" spans="2:3">
      <c r="B822" s="2"/>
      <c r="C822" s="2"/>
    </row>
    <row r="823" spans="2:3">
      <c r="B823" s="2"/>
      <c r="C823" s="2"/>
    </row>
    <row r="824" spans="2:3">
      <c r="B824" s="2"/>
      <c r="C824" s="2"/>
    </row>
    <row r="825" spans="2:3">
      <c r="B825" s="2"/>
      <c r="C825" s="2"/>
    </row>
    <row r="826" spans="2:3">
      <c r="B826" s="2"/>
      <c r="C826" s="2"/>
    </row>
    <row r="827" spans="2:3">
      <c r="B827" s="2"/>
      <c r="C827" s="2"/>
    </row>
    <row r="828" spans="2:3">
      <c r="B828" s="2"/>
      <c r="C828" s="2"/>
    </row>
    <row r="829" spans="2:3">
      <c r="B829" s="2"/>
      <c r="C829" s="2"/>
    </row>
    <row r="830" spans="2:3">
      <c r="B830" s="2"/>
      <c r="C830" s="2"/>
    </row>
    <row r="831" spans="2:3">
      <c r="B831" s="2"/>
      <c r="C831" s="2"/>
    </row>
    <row r="832" spans="2:3">
      <c r="B832" s="2"/>
      <c r="C832" s="2"/>
    </row>
    <row r="833" spans="2:3">
      <c r="B833" s="2"/>
      <c r="C833" s="2"/>
    </row>
    <row r="834" spans="2:3">
      <c r="B834" s="2"/>
      <c r="C834" s="2"/>
    </row>
    <row r="835" spans="2:3">
      <c r="B835" s="2"/>
      <c r="C835" s="2"/>
    </row>
    <row r="836" spans="2:3">
      <c r="B836" s="2"/>
      <c r="C836" s="2"/>
    </row>
    <row r="837" spans="2:3">
      <c r="B837" s="2"/>
      <c r="C837" s="2"/>
    </row>
    <row r="838" spans="2:3">
      <c r="B838" s="2"/>
      <c r="C838" s="2"/>
    </row>
    <row r="839" spans="2:3">
      <c r="B839" s="2"/>
      <c r="C839" s="2"/>
    </row>
    <row r="840" spans="2:3">
      <c r="B840" s="2"/>
      <c r="C840" s="2"/>
    </row>
    <row r="841" spans="2:3">
      <c r="B841" s="2"/>
      <c r="C841" s="2"/>
    </row>
    <row r="842" spans="2:3">
      <c r="B842" s="2"/>
      <c r="C842" s="2"/>
    </row>
    <row r="843" spans="2:3">
      <c r="B843" s="2"/>
      <c r="C843" s="2"/>
    </row>
    <row r="844" spans="2:3">
      <c r="B844" s="2"/>
      <c r="C844" s="2"/>
    </row>
    <row r="845" spans="2:3">
      <c r="B845" s="2"/>
      <c r="C845" s="2"/>
    </row>
    <row r="846" spans="2:3">
      <c r="B846" s="2"/>
      <c r="C846" s="2"/>
    </row>
    <row r="847" spans="2:3">
      <c r="B847" s="2"/>
      <c r="C847" s="2"/>
    </row>
    <row r="848" spans="2:3">
      <c r="B848" s="2"/>
      <c r="C848" s="2"/>
    </row>
    <row r="849" spans="2:3">
      <c r="B849" s="2"/>
      <c r="C849" s="2"/>
    </row>
    <row r="850" spans="2:3">
      <c r="B850" s="2"/>
      <c r="C850" s="2"/>
    </row>
    <row r="851" spans="2:3">
      <c r="B851" s="2"/>
      <c r="C851" s="2"/>
    </row>
    <row r="852" spans="2:3">
      <c r="B852" s="2"/>
      <c r="C852" s="2"/>
    </row>
    <row r="853" spans="2:3">
      <c r="B853" s="2"/>
      <c r="C853" s="2"/>
    </row>
    <row r="854" spans="2:3">
      <c r="B854" s="2"/>
      <c r="C854" s="2"/>
    </row>
    <row r="855" spans="2:3">
      <c r="B855" s="2"/>
      <c r="C855" s="2"/>
    </row>
    <row r="856" spans="2:3">
      <c r="B856" s="2"/>
      <c r="C856" s="2"/>
    </row>
    <row r="857" spans="2:3">
      <c r="B857" s="2"/>
      <c r="C857" s="2"/>
    </row>
    <row r="858" spans="2:3">
      <c r="B858" s="2"/>
      <c r="C858" s="2"/>
    </row>
    <row r="859" spans="2:3">
      <c r="B859" s="2"/>
      <c r="C859" s="2"/>
    </row>
    <row r="860" spans="2:3">
      <c r="B860" s="2"/>
      <c r="C860" s="2"/>
    </row>
    <row r="861" spans="2:3">
      <c r="B861" s="2"/>
      <c r="C861" s="2"/>
    </row>
    <row r="862" spans="2:3">
      <c r="B862" s="2"/>
      <c r="C862" s="2"/>
    </row>
    <row r="863" spans="2:3">
      <c r="B863" s="2"/>
      <c r="C863" s="2"/>
    </row>
    <row r="864" spans="2:3">
      <c r="B864" s="2"/>
      <c r="C864" s="2"/>
    </row>
    <row r="865" spans="2:3">
      <c r="B865" s="2"/>
      <c r="C865" s="2"/>
    </row>
    <row r="866" spans="2:3">
      <c r="B866" s="2"/>
      <c r="C866" s="2"/>
    </row>
    <row r="867" spans="2:3">
      <c r="B867" s="2"/>
      <c r="C867" s="2"/>
    </row>
    <row r="868" spans="2:3">
      <c r="B868" s="2"/>
      <c r="C868" s="2"/>
    </row>
    <row r="869" spans="2:3">
      <c r="B869" s="2"/>
      <c r="C869" s="2"/>
    </row>
    <row r="870" spans="2:3">
      <c r="B870" s="2"/>
      <c r="C870" s="2"/>
    </row>
    <row r="871" spans="2:3">
      <c r="B871" s="2"/>
      <c r="C871" s="2"/>
    </row>
    <row r="872" spans="2:3">
      <c r="B872" s="2"/>
      <c r="C872" s="2"/>
    </row>
    <row r="873" spans="2:3">
      <c r="B873" s="2"/>
      <c r="C873" s="2"/>
    </row>
    <row r="874" spans="2:3">
      <c r="B874" s="2"/>
      <c r="C874" s="2"/>
    </row>
    <row r="875" spans="2:3">
      <c r="B875" s="2"/>
      <c r="C875" s="2"/>
    </row>
    <row r="876" spans="2:3">
      <c r="B876" s="2"/>
      <c r="C876" s="2"/>
    </row>
    <row r="877" spans="2:3">
      <c r="B877" s="2"/>
      <c r="C877" s="2"/>
    </row>
    <row r="878" spans="2:3">
      <c r="B878" s="2"/>
      <c r="C878" s="2"/>
    </row>
    <row r="879" spans="2:3">
      <c r="B879" s="2"/>
      <c r="C879" s="2"/>
    </row>
    <row r="880" spans="2:3">
      <c r="B880" s="2"/>
      <c r="C880" s="2"/>
    </row>
    <row r="881" spans="2:3">
      <c r="B881" s="2"/>
      <c r="C881" s="2"/>
    </row>
    <row r="882" spans="2:3">
      <c r="B882" s="2"/>
      <c r="C882" s="2"/>
    </row>
    <row r="883" spans="2:3">
      <c r="B883" s="2"/>
      <c r="C883" s="2"/>
    </row>
    <row r="884" spans="2:3">
      <c r="B884" s="2"/>
      <c r="C884" s="2"/>
    </row>
    <row r="885" spans="2:3">
      <c r="B885" s="2"/>
      <c r="C885" s="2"/>
    </row>
    <row r="886" spans="2:3">
      <c r="B886" s="2"/>
      <c r="C886" s="2"/>
    </row>
    <row r="887" spans="2:3">
      <c r="B887" s="2"/>
      <c r="C887" s="2"/>
    </row>
    <row r="888" spans="2:3">
      <c r="B888" s="2"/>
      <c r="C888" s="2"/>
    </row>
    <row r="889" spans="2:3">
      <c r="B889" s="2"/>
      <c r="C889" s="2"/>
    </row>
    <row r="890" spans="2:3">
      <c r="B890" s="2"/>
      <c r="C890" s="2"/>
    </row>
    <row r="891" spans="2:3">
      <c r="B891" s="2"/>
      <c r="C891" s="2"/>
    </row>
    <row r="892" spans="2:3">
      <c r="B892" s="2"/>
      <c r="C892" s="2"/>
    </row>
    <row r="893" spans="2:3">
      <c r="B893" s="2"/>
      <c r="C893" s="2"/>
    </row>
    <row r="894" spans="2:3">
      <c r="B894" s="2"/>
      <c r="C894" s="2"/>
    </row>
    <row r="895" spans="2:3">
      <c r="B895" s="2"/>
      <c r="C895" s="2"/>
    </row>
    <row r="896" spans="2:3">
      <c r="B896" s="2"/>
      <c r="C896" s="2"/>
    </row>
    <row r="897" spans="2:3">
      <c r="B897" s="2"/>
      <c r="C897" s="2"/>
    </row>
    <row r="898" spans="2:3">
      <c r="B898" s="2"/>
      <c r="C898" s="2"/>
    </row>
    <row r="899" spans="2:3">
      <c r="B899" s="2"/>
      <c r="C899" s="2"/>
    </row>
    <row r="900" spans="2:3">
      <c r="B900" s="2"/>
      <c r="C900" s="2"/>
    </row>
    <row r="901" spans="2:3">
      <c r="B901" s="2"/>
      <c r="C901" s="2"/>
    </row>
    <row r="902" spans="2:3">
      <c r="B902" s="2"/>
      <c r="C902" s="2"/>
    </row>
    <row r="903" spans="2:3">
      <c r="B903" s="2"/>
      <c r="C903" s="2"/>
    </row>
    <row r="904" spans="2:3">
      <c r="B904" s="2"/>
      <c r="C904" s="2"/>
    </row>
    <row r="905" spans="2:3">
      <c r="B905" s="2"/>
      <c r="C905" s="2"/>
    </row>
    <row r="906" spans="2:3">
      <c r="B906" s="2"/>
      <c r="C906" s="2"/>
    </row>
    <row r="907" spans="2:3">
      <c r="B907" s="2"/>
      <c r="C907" s="2"/>
    </row>
    <row r="908" spans="2:3">
      <c r="B908" s="2"/>
      <c r="C908" s="2"/>
    </row>
    <row r="909" spans="2:3">
      <c r="B909" s="2"/>
      <c r="C909" s="2"/>
    </row>
    <row r="910" spans="2:3">
      <c r="B910" s="2"/>
      <c r="C910" s="2"/>
    </row>
    <row r="911" spans="2:3">
      <c r="B911" s="2"/>
      <c r="C911" s="2"/>
    </row>
    <row r="912" spans="2:3">
      <c r="B912" s="2"/>
      <c r="C912" s="2"/>
    </row>
    <row r="913" spans="2:3">
      <c r="B913" s="2"/>
      <c r="C913" s="2"/>
    </row>
    <row r="914" spans="2:3">
      <c r="B914" s="2"/>
      <c r="C914" s="2"/>
    </row>
    <row r="915" spans="2:3">
      <c r="B915" s="2"/>
      <c r="C915" s="2"/>
    </row>
    <row r="916" spans="2:3">
      <c r="B916" s="2"/>
      <c r="C916" s="2"/>
    </row>
    <row r="917" spans="2:3">
      <c r="B917" s="2"/>
      <c r="C917" s="2"/>
    </row>
    <row r="918" spans="2:3">
      <c r="B918" s="2"/>
      <c r="C918" s="2"/>
    </row>
    <row r="919" spans="2:3">
      <c r="B919" s="2"/>
      <c r="C919" s="2"/>
    </row>
    <row r="920" spans="2:3">
      <c r="B920" s="2"/>
      <c r="C920" s="2"/>
    </row>
    <row r="921" spans="2:3">
      <c r="B921" s="2"/>
      <c r="C921" s="2"/>
    </row>
    <row r="922" spans="2:3">
      <c r="B922" s="2"/>
      <c r="C922" s="2"/>
    </row>
    <row r="923" spans="2:3">
      <c r="B923" s="2"/>
      <c r="C923" s="2"/>
    </row>
    <row r="924" spans="2:3">
      <c r="B924" s="2"/>
      <c r="C924" s="2"/>
    </row>
    <row r="925" spans="2:3">
      <c r="B925" s="2"/>
      <c r="C925" s="2"/>
    </row>
    <row r="926" spans="2:3">
      <c r="B926" s="2"/>
      <c r="C926" s="2"/>
    </row>
    <row r="927" spans="2:3">
      <c r="B927" s="2"/>
      <c r="C927" s="2"/>
    </row>
    <row r="928" spans="2:3">
      <c r="B928" s="2"/>
      <c r="C928" s="2"/>
    </row>
    <row r="929" spans="2:3">
      <c r="B929" s="2"/>
      <c r="C929" s="2"/>
    </row>
    <row r="930" spans="2:3">
      <c r="B930" s="2"/>
      <c r="C930" s="2"/>
    </row>
    <row r="931" spans="2:3">
      <c r="B931" s="2"/>
      <c r="C931" s="2"/>
    </row>
    <row r="932" spans="2:3">
      <c r="B932" s="2"/>
      <c r="C932" s="2"/>
    </row>
    <row r="933" spans="2:3">
      <c r="B933" s="2"/>
      <c r="C933" s="2"/>
    </row>
    <row r="934" spans="2:3">
      <c r="B934" s="2"/>
      <c r="C934" s="2"/>
    </row>
    <row r="935" spans="2:3">
      <c r="B935" s="2"/>
      <c r="C935" s="2"/>
    </row>
    <row r="936" spans="2:3">
      <c r="B936" s="2"/>
      <c r="C936" s="2"/>
    </row>
    <row r="937" spans="2:3">
      <c r="B937" s="2"/>
      <c r="C937" s="2"/>
    </row>
    <row r="938" spans="2:3">
      <c r="B938" s="2"/>
      <c r="C938" s="2"/>
    </row>
    <row r="939" spans="2:3">
      <c r="B939" s="2"/>
      <c r="C939" s="2"/>
    </row>
    <row r="940" spans="2:3">
      <c r="B940" s="2"/>
      <c r="C940" s="2"/>
    </row>
    <row r="941" spans="2:3">
      <c r="B941" s="2"/>
      <c r="C941" s="2"/>
    </row>
    <row r="942" spans="2:3">
      <c r="B942" s="2"/>
      <c r="C942" s="2"/>
    </row>
    <row r="943" spans="2:3">
      <c r="B943" s="2"/>
      <c r="C943" s="2"/>
    </row>
    <row r="944" spans="2:3">
      <c r="B944" s="2"/>
      <c r="C944" s="2"/>
    </row>
    <row r="945" spans="2:3">
      <c r="B945" s="2"/>
      <c r="C945" s="2"/>
    </row>
    <row r="946" spans="2:3">
      <c r="B946" s="2"/>
      <c r="C946" s="2"/>
    </row>
    <row r="947" spans="2:3">
      <c r="B947" s="2"/>
      <c r="C947" s="2"/>
    </row>
    <row r="948" spans="2:3">
      <c r="B948" s="2"/>
      <c r="C948" s="2"/>
    </row>
    <row r="949" spans="2:3">
      <c r="B949" s="2"/>
      <c r="C949" s="2"/>
    </row>
    <row r="950" spans="2:3">
      <c r="B950" s="2"/>
      <c r="C950" s="2"/>
    </row>
    <row r="951" spans="2:3">
      <c r="B951" s="2"/>
      <c r="C951" s="2"/>
    </row>
    <row r="952" spans="2:3">
      <c r="B952" s="2"/>
      <c r="C952" s="2"/>
    </row>
    <row r="953" spans="2:3">
      <c r="B953" s="2"/>
      <c r="C953" s="2"/>
    </row>
    <row r="954" spans="2:3">
      <c r="B954" s="2"/>
      <c r="C954" s="2"/>
    </row>
    <row r="955" spans="2:3">
      <c r="B955" s="2"/>
      <c r="C955" s="2"/>
    </row>
    <row r="956" spans="2:3">
      <c r="B956" s="2"/>
      <c r="C956" s="2"/>
    </row>
    <row r="957" spans="2:3">
      <c r="B957" s="2"/>
      <c r="C957" s="2"/>
    </row>
    <row r="958" spans="2:3">
      <c r="B958" s="2"/>
      <c r="C958" s="2"/>
    </row>
    <row r="959" spans="2:3">
      <c r="B959" s="2"/>
      <c r="C959" s="2"/>
    </row>
    <row r="960" spans="2:3">
      <c r="B960" s="2"/>
      <c r="C960" s="2"/>
    </row>
    <row r="961" spans="2:3">
      <c r="B961" s="2"/>
      <c r="C961" s="2"/>
    </row>
    <row r="962" spans="2:3">
      <c r="B962" s="2"/>
      <c r="C962" s="2"/>
    </row>
    <row r="963" spans="2:3">
      <c r="B963" s="2"/>
      <c r="C963" s="2"/>
    </row>
    <row r="964" spans="2:3">
      <c r="B964" s="2"/>
      <c r="C964" s="2"/>
    </row>
    <row r="965" spans="2:3">
      <c r="B965" s="2"/>
      <c r="C965" s="2"/>
    </row>
    <row r="966" spans="2:3">
      <c r="B966" s="2"/>
      <c r="C966" s="2"/>
    </row>
    <row r="967" spans="2:3">
      <c r="B967" s="2"/>
      <c r="C967" s="2"/>
    </row>
    <row r="968" spans="2:3">
      <c r="B968" s="2"/>
      <c r="C968" s="2"/>
    </row>
    <row r="969" spans="2:3">
      <c r="B969" s="2"/>
      <c r="C969" s="2"/>
    </row>
    <row r="970" spans="2:3">
      <c r="B970" s="2"/>
      <c r="C970" s="2"/>
    </row>
    <row r="971" spans="2:3">
      <c r="B971" s="2"/>
      <c r="C971" s="2"/>
    </row>
    <row r="972" spans="2:3">
      <c r="B972" s="2"/>
      <c r="C972" s="2"/>
    </row>
    <row r="973" spans="2:3">
      <c r="B973" s="2"/>
      <c r="C973" s="2"/>
    </row>
    <row r="974" spans="2:3">
      <c r="B974" s="2"/>
      <c r="C974" s="2"/>
    </row>
    <row r="975" spans="2:3">
      <c r="B975" s="2"/>
      <c r="C975" s="2"/>
    </row>
    <row r="976" spans="2:3">
      <c r="B976" s="2"/>
      <c r="C976" s="2"/>
    </row>
    <row r="977" spans="2:3">
      <c r="B977" s="2"/>
      <c r="C977" s="2"/>
    </row>
    <row r="978" spans="2:3">
      <c r="B978" s="2"/>
      <c r="C978" s="2"/>
    </row>
    <row r="979" spans="2:3">
      <c r="B979" s="2"/>
      <c r="C979" s="2"/>
    </row>
    <row r="980" spans="2:3">
      <c r="B980" s="2"/>
      <c r="C980" s="2"/>
    </row>
    <row r="981" spans="2:3">
      <c r="B981" s="2"/>
      <c r="C981" s="2"/>
    </row>
    <row r="982" spans="2:3">
      <c r="B982" s="2"/>
      <c r="C982" s="2"/>
    </row>
    <row r="983" spans="2:3">
      <c r="B983" s="2"/>
      <c r="C983" s="2"/>
    </row>
    <row r="984" spans="2:3">
      <c r="B984" s="2"/>
      <c r="C984" s="2"/>
    </row>
    <row r="985" spans="2:3">
      <c r="B985" s="2"/>
      <c r="C985" s="2"/>
    </row>
    <row r="986" spans="2:3">
      <c r="B986" s="2"/>
      <c r="C986" s="2"/>
    </row>
    <row r="987" spans="2:3">
      <c r="B987" s="2"/>
      <c r="C987" s="2"/>
    </row>
    <row r="988" spans="2:3">
      <c r="B988" s="2"/>
      <c r="C988" s="2"/>
    </row>
    <row r="989" spans="2:3">
      <c r="B989" s="2"/>
      <c r="C989" s="2"/>
    </row>
    <row r="990" spans="2:3">
      <c r="B990" s="2"/>
      <c r="C990" s="2"/>
    </row>
    <row r="991" spans="2:3">
      <c r="B991" s="2"/>
      <c r="C991" s="2"/>
    </row>
    <row r="992" spans="2:3">
      <c r="B992" s="2"/>
      <c r="C992" s="2"/>
    </row>
    <row r="993" spans="2:3">
      <c r="B993" s="2"/>
      <c r="C993" s="2"/>
    </row>
    <row r="994" spans="2:3">
      <c r="B994" s="2"/>
      <c r="C994" s="2"/>
    </row>
    <row r="995" spans="2:3">
      <c r="B995" s="2"/>
      <c r="C995" s="2"/>
    </row>
    <row r="996" spans="2:3">
      <c r="B996" s="2"/>
      <c r="C996" s="2"/>
    </row>
    <row r="997" spans="2:3">
      <c r="B997" s="2"/>
      <c r="C997" s="2"/>
    </row>
    <row r="998" spans="2:3">
      <c r="B998" s="2"/>
      <c r="C998" s="2"/>
    </row>
    <row r="999" spans="2:3">
      <c r="B999" s="2"/>
      <c r="C999" s="2"/>
    </row>
    <row r="1000" spans="2:3">
      <c r="B1000" s="2"/>
      <c r="C1000" s="2"/>
    </row>
  </sheetData>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733"/>
  <sheetViews>
    <sheetView workbookViewId="0">
      <pane xSplit="2" ySplit="2" topLeftCell="C3" activePane="bottomRight" state="frozen"/>
      <selection pane="topRight" activeCell="C1" sqref="C1"/>
      <selection pane="bottomLeft" activeCell="A2" sqref="A2"/>
      <selection pane="bottomRight" activeCell="A2" sqref="A2"/>
    </sheetView>
  </sheetViews>
  <sheetFormatPr baseColWidth="10" defaultColWidth="36.796875" defaultRowHeight="14"/>
  <cols>
    <col min="1" max="1" width="7.59765625" style="2" bestFit="1" customWidth="1"/>
    <col min="2" max="2" width="56.3984375" style="2" bestFit="1" customWidth="1"/>
    <col min="3" max="3" width="11.796875" style="2" bestFit="1" customWidth="1"/>
    <col min="4" max="4" width="26.59765625" style="2" customWidth="1"/>
    <col min="5" max="5" width="10.3984375" style="2" customWidth="1"/>
    <col min="6" max="6" width="27.3984375" style="2" bestFit="1" customWidth="1"/>
    <col min="7" max="7" width="11.3984375" style="2" customWidth="1"/>
    <col min="8" max="8" width="12.3984375" style="63" customWidth="1"/>
    <col min="9" max="9" width="14.19921875" style="2" bestFit="1" customWidth="1"/>
    <col min="10" max="10" width="11" style="2" customWidth="1"/>
    <col min="11" max="11" width="12.19921875" style="63" customWidth="1"/>
    <col min="12" max="12" width="11.59765625" style="63" customWidth="1"/>
    <col min="13" max="13" width="13.59765625" style="63" customWidth="1"/>
    <col min="14" max="14" width="12.19921875" style="63" customWidth="1"/>
    <col min="15" max="15" width="12.59765625" style="63" customWidth="1"/>
    <col min="16" max="16" width="10.3984375" style="63" customWidth="1"/>
    <col min="17" max="16384" width="36.796875" style="2"/>
  </cols>
  <sheetData>
    <row r="1" spans="1:16" hidden="1">
      <c r="H1" s="65">
        <v>118</v>
      </c>
      <c r="K1" s="68">
        <v>98811091</v>
      </c>
      <c r="L1" s="68">
        <f>K1+H1731</f>
        <v>153358318.19961235</v>
      </c>
      <c r="N1" s="68">
        <f>83000000</f>
        <v>83000000</v>
      </c>
    </row>
    <row r="2" spans="1:16" s="7" customFormat="1" ht="112">
      <c r="A2" s="71" t="s">
        <v>2</v>
      </c>
      <c r="B2" s="71" t="s">
        <v>0</v>
      </c>
      <c r="C2" s="71" t="s">
        <v>3273</v>
      </c>
      <c r="D2" s="71" t="s">
        <v>1</v>
      </c>
      <c r="E2" s="71" t="s">
        <v>1910</v>
      </c>
      <c r="F2" s="71" t="s">
        <v>1896</v>
      </c>
      <c r="G2" s="71" t="s">
        <v>1893</v>
      </c>
      <c r="H2" s="72" t="s">
        <v>3225</v>
      </c>
      <c r="I2" s="71" t="s">
        <v>1894</v>
      </c>
      <c r="J2" s="71" t="s">
        <v>1895</v>
      </c>
      <c r="K2" s="72" t="s">
        <v>3226</v>
      </c>
      <c r="L2" s="72" t="s">
        <v>1891</v>
      </c>
      <c r="M2" s="70" t="s">
        <v>2554</v>
      </c>
      <c r="N2" s="70" t="s">
        <v>1890</v>
      </c>
      <c r="O2" s="70" t="s">
        <v>3361</v>
      </c>
      <c r="P2" s="70" t="s">
        <v>1892</v>
      </c>
    </row>
    <row r="3" spans="1:16" ht="15">
      <c r="A3" s="3" t="str">
        <f>"090746"</f>
        <v>090746</v>
      </c>
      <c r="B3" s="3" t="s">
        <v>2656</v>
      </c>
      <c r="C3" s="61" t="s">
        <v>3301</v>
      </c>
      <c r="D3" s="3" t="s">
        <v>3249</v>
      </c>
      <c r="E3" s="3">
        <v>1</v>
      </c>
      <c r="F3" s="3" t="s">
        <v>3220</v>
      </c>
      <c r="G3" s="9">
        <v>121</v>
      </c>
      <c r="H3" s="66">
        <v>3569.5</v>
      </c>
      <c r="I3" s="9">
        <v>129.2748</v>
      </c>
      <c r="J3" s="10">
        <v>1.0683867768595041</v>
      </c>
      <c r="K3" s="66">
        <v>437.03595281362573</v>
      </c>
      <c r="L3" s="69">
        <v>4006.535952813626</v>
      </c>
      <c r="M3" s="64">
        <v>0</v>
      </c>
      <c r="N3" s="67">
        <v>0</v>
      </c>
      <c r="O3" s="64">
        <f t="shared" ref="O3:O66" si="0">(N3+L3)</f>
        <v>4006.535952813626</v>
      </c>
      <c r="P3" s="64">
        <f t="shared" ref="P3:P66" si="1">O3/G3</f>
        <v>33.111867378625007</v>
      </c>
    </row>
    <row r="4" spans="1:16" ht="15">
      <c r="A4" s="3" t="s">
        <v>1664</v>
      </c>
      <c r="B4" s="3" t="s">
        <v>1699</v>
      </c>
      <c r="C4" s="3" t="s">
        <v>3301</v>
      </c>
      <c r="D4" s="3" t="s">
        <v>3248</v>
      </c>
      <c r="E4" s="3">
        <v>1</v>
      </c>
      <c r="F4" s="3" t="s">
        <v>3223</v>
      </c>
      <c r="G4" s="9">
        <v>3696.5399539999999</v>
      </c>
      <c r="H4" s="66">
        <v>109047.92864299999</v>
      </c>
      <c r="I4" s="9">
        <v>4615.4185718398203</v>
      </c>
      <c r="J4" s="10">
        <v>1.2485780295288054</v>
      </c>
      <c r="K4" s="66">
        <v>48530.839690106513</v>
      </c>
      <c r="L4" s="69">
        <v>157578.76833310651</v>
      </c>
      <c r="M4" s="64">
        <v>3689270.3383388552</v>
      </c>
      <c r="N4" s="67">
        <v>73948.84764772674</v>
      </c>
      <c r="O4" s="64">
        <f t="shared" si="0"/>
        <v>231527.61598083324</v>
      </c>
      <c r="P4" s="64">
        <f t="shared" si="1"/>
        <v>62.633603007671766</v>
      </c>
    </row>
    <row r="5" spans="1:16" ht="15">
      <c r="A5" s="3" t="s">
        <v>543</v>
      </c>
      <c r="B5" s="3" t="s">
        <v>544</v>
      </c>
      <c r="C5" s="3" t="s">
        <v>3301</v>
      </c>
      <c r="D5" s="3" t="s">
        <v>3248</v>
      </c>
      <c r="E5" s="3">
        <v>1</v>
      </c>
      <c r="F5" s="3" t="s">
        <v>3223</v>
      </c>
      <c r="G5" s="9">
        <v>833.150306</v>
      </c>
      <c r="H5" s="66">
        <v>24577.934026999999</v>
      </c>
      <c r="I5" s="9">
        <v>1176.9883599131899</v>
      </c>
      <c r="J5" s="10">
        <v>1.4126963063411393</v>
      </c>
      <c r="K5" s="66">
        <v>18159.906161542731</v>
      </c>
      <c r="L5" s="69">
        <v>42737.84018854273</v>
      </c>
      <c r="M5" s="64">
        <v>514958.58460027963</v>
      </c>
      <c r="N5" s="67">
        <v>10321.985223409079</v>
      </c>
      <c r="O5" s="64">
        <f t="shared" si="0"/>
        <v>53059.82541195181</v>
      </c>
      <c r="P5" s="64">
        <f t="shared" si="1"/>
        <v>63.685777980080118</v>
      </c>
    </row>
    <row r="6" spans="1:16" ht="15">
      <c r="A6" s="19">
        <v>65821</v>
      </c>
      <c r="B6" s="20" t="s">
        <v>1957</v>
      </c>
      <c r="C6" s="61" t="s">
        <v>3303</v>
      </c>
      <c r="D6" s="19" t="s">
        <v>1973</v>
      </c>
      <c r="E6" s="19">
        <v>1</v>
      </c>
      <c r="F6" s="19" t="s">
        <v>1974</v>
      </c>
      <c r="G6" s="9">
        <v>32.82</v>
      </c>
      <c r="H6" s="66">
        <v>968.19</v>
      </c>
      <c r="I6" s="9">
        <v>135.86535599999999</v>
      </c>
      <c r="J6" s="10">
        <v>4.1397122486288849</v>
      </c>
      <c r="K6" s="66">
        <v>5442.3702497316272</v>
      </c>
      <c r="L6" s="69">
        <v>6410.5602497316268</v>
      </c>
      <c r="M6" s="64">
        <v>0</v>
      </c>
      <c r="N6" s="67">
        <v>0</v>
      </c>
      <c r="O6" s="64">
        <f t="shared" si="0"/>
        <v>6410.5602497316268</v>
      </c>
      <c r="P6" s="64">
        <f t="shared" si="1"/>
        <v>195.32480955915986</v>
      </c>
    </row>
    <row r="7" spans="1:16" ht="15">
      <c r="A7" s="3" t="s">
        <v>956</v>
      </c>
      <c r="B7" s="3" t="s">
        <v>957</v>
      </c>
      <c r="C7" s="61" t="s">
        <v>3303</v>
      </c>
      <c r="D7" s="3" t="s">
        <v>3248</v>
      </c>
      <c r="E7" s="3">
        <v>1</v>
      </c>
      <c r="F7" s="3" t="s">
        <v>3224</v>
      </c>
      <c r="G7" s="9">
        <v>1125.883941</v>
      </c>
      <c r="H7" s="66">
        <v>33213.576259499998</v>
      </c>
      <c r="I7" s="9">
        <v>1274.23194477623</v>
      </c>
      <c r="J7" s="10">
        <v>1.1317613640038853</v>
      </c>
      <c r="K7" s="66">
        <v>7835.0426811939851</v>
      </c>
      <c r="L7" s="69">
        <v>41048.618940693981</v>
      </c>
      <c r="M7" s="64">
        <v>702895.04539092246</v>
      </c>
      <c r="N7" s="67">
        <v>14089.040340524147</v>
      </c>
      <c r="O7" s="64">
        <f t="shared" si="0"/>
        <v>55137.659281218126</v>
      </c>
      <c r="P7" s="64">
        <f t="shared" si="1"/>
        <v>48.97277354559774</v>
      </c>
    </row>
    <row r="8" spans="1:16" ht="15">
      <c r="A8" s="3" t="s">
        <v>454</v>
      </c>
      <c r="B8" s="3" t="s">
        <v>455</v>
      </c>
      <c r="C8" s="61" t="s">
        <v>3303</v>
      </c>
      <c r="D8" s="3" t="s">
        <v>456</v>
      </c>
      <c r="E8" s="3">
        <v>1</v>
      </c>
      <c r="F8" s="3" t="s">
        <v>1897</v>
      </c>
      <c r="G8" s="9">
        <v>855.63577599999996</v>
      </c>
      <c r="H8" s="66">
        <v>25241.255391999999</v>
      </c>
      <c r="I8" s="9">
        <v>1065.1550577698299</v>
      </c>
      <c r="J8" s="10">
        <v>1.2448697070023285</v>
      </c>
      <c r="K8" s="66">
        <v>11065.821402463402</v>
      </c>
      <c r="L8" s="69">
        <v>36307.076794463399</v>
      </c>
      <c r="M8" s="64">
        <v>0</v>
      </c>
      <c r="N8" s="67">
        <v>0</v>
      </c>
      <c r="O8" s="64">
        <f t="shared" si="0"/>
        <v>36307.076794463399</v>
      </c>
      <c r="P8" s="64">
        <f t="shared" si="1"/>
        <v>42.432864324812201</v>
      </c>
    </row>
    <row r="9" spans="1:16" ht="15">
      <c r="A9" s="3" t="s">
        <v>14</v>
      </c>
      <c r="B9" s="61" t="s">
        <v>15</v>
      </c>
      <c r="C9" s="61" t="s">
        <v>3303</v>
      </c>
      <c r="D9" s="3" t="s">
        <v>1684</v>
      </c>
      <c r="E9" s="3">
        <v>1</v>
      </c>
      <c r="F9" s="3" t="s">
        <v>3267</v>
      </c>
      <c r="G9" s="9">
        <v>83.133036000000004</v>
      </c>
      <c r="H9" s="66">
        <v>490.48491240000004</v>
      </c>
      <c r="I9" s="9">
        <v>101.024303429032</v>
      </c>
      <c r="J9" s="10">
        <v>1.2152124869953262</v>
      </c>
      <c r="K9" s="66">
        <v>0</v>
      </c>
      <c r="L9" s="69">
        <v>490.48491240000004</v>
      </c>
      <c r="M9" s="64">
        <v>0</v>
      </c>
      <c r="N9" s="67">
        <v>0</v>
      </c>
      <c r="O9" s="64">
        <f t="shared" si="0"/>
        <v>490.48491240000004</v>
      </c>
      <c r="P9" s="64">
        <f t="shared" si="1"/>
        <v>5.9</v>
      </c>
    </row>
    <row r="10" spans="1:16" ht="15">
      <c r="A10" s="3" t="s">
        <v>958</v>
      </c>
      <c r="B10" s="3" t="s">
        <v>959</v>
      </c>
      <c r="C10" s="61" t="s">
        <v>3303</v>
      </c>
      <c r="D10" s="3" t="s">
        <v>3248</v>
      </c>
      <c r="E10" s="3">
        <v>1</v>
      </c>
      <c r="F10" s="3" t="s">
        <v>1905</v>
      </c>
      <c r="G10" s="9">
        <v>1702.174184</v>
      </c>
      <c r="H10" s="66">
        <v>50214.138427999998</v>
      </c>
      <c r="I10" s="9">
        <v>1957.30390556661</v>
      </c>
      <c r="J10" s="10">
        <v>1.1498846146092239</v>
      </c>
      <c r="K10" s="66">
        <v>13474.749958420558</v>
      </c>
      <c r="L10" s="69">
        <v>63688.888386420556</v>
      </c>
      <c r="M10" s="64">
        <v>1273034.4478398194</v>
      </c>
      <c r="N10" s="67">
        <v>25517.086523944545</v>
      </c>
      <c r="O10" s="64">
        <f t="shared" si="0"/>
        <v>89205.974910365097</v>
      </c>
      <c r="P10" s="64">
        <f t="shared" si="1"/>
        <v>52.407077811940951</v>
      </c>
    </row>
    <row r="11" spans="1:16" ht="15">
      <c r="A11" s="3" t="s">
        <v>863</v>
      </c>
      <c r="B11" s="3" t="s">
        <v>864</v>
      </c>
      <c r="C11" s="61" t="s">
        <v>3303</v>
      </c>
      <c r="D11" s="3" t="s">
        <v>3248</v>
      </c>
      <c r="E11" s="3">
        <v>1</v>
      </c>
      <c r="F11" s="3" t="s">
        <v>1904</v>
      </c>
      <c r="G11" s="9">
        <v>1125.277458</v>
      </c>
      <c r="H11" s="66">
        <v>33195.685011000001</v>
      </c>
      <c r="I11" s="9">
        <v>1241.22548043902</v>
      </c>
      <c r="J11" s="10">
        <v>1.1030394962724117</v>
      </c>
      <c r="K11" s="66">
        <v>6123.8283056379305</v>
      </c>
      <c r="L11" s="69">
        <v>39319.513316637931</v>
      </c>
      <c r="M11" s="64">
        <v>493614.85006377113</v>
      </c>
      <c r="N11" s="67">
        <v>9894.1649693410454</v>
      </c>
      <c r="O11" s="64">
        <f t="shared" si="0"/>
        <v>49213.678285978975</v>
      </c>
      <c r="P11" s="64">
        <f t="shared" si="1"/>
        <v>43.734705548486133</v>
      </c>
    </row>
    <row r="12" spans="1:16" ht="15">
      <c r="A12" s="3" t="s">
        <v>618</v>
      </c>
      <c r="B12" s="3" t="s">
        <v>619</v>
      </c>
      <c r="C12" s="61" t="s">
        <v>3303</v>
      </c>
      <c r="D12" s="3" t="s">
        <v>3248</v>
      </c>
      <c r="E12" s="3">
        <v>1</v>
      </c>
      <c r="F12" s="3" t="s">
        <v>1904</v>
      </c>
      <c r="G12" s="9">
        <v>898.88292799999999</v>
      </c>
      <c r="H12" s="66">
        <v>26517.046375999998</v>
      </c>
      <c r="I12" s="9">
        <v>1068.3192684466201</v>
      </c>
      <c r="J12" s="10">
        <v>1.1884965607519249</v>
      </c>
      <c r="K12" s="66">
        <v>8948.8292754317299</v>
      </c>
      <c r="L12" s="69">
        <v>35465.875651431728</v>
      </c>
      <c r="M12" s="64">
        <v>463651.67907376471</v>
      </c>
      <c r="N12" s="67">
        <v>9293.5741306711861</v>
      </c>
      <c r="O12" s="64">
        <f t="shared" si="0"/>
        <v>44759.449782102914</v>
      </c>
      <c r="P12" s="64">
        <f t="shared" si="1"/>
        <v>49.794526503792845</v>
      </c>
    </row>
    <row r="13" spans="1:16" ht="15">
      <c r="A13" s="3" t="s">
        <v>960</v>
      </c>
      <c r="B13" s="3" t="s">
        <v>961</v>
      </c>
      <c r="C13" s="61" t="s">
        <v>3303</v>
      </c>
      <c r="D13" s="3" t="s">
        <v>3248</v>
      </c>
      <c r="E13" s="3">
        <v>1</v>
      </c>
      <c r="F13" s="3" t="s">
        <v>1905</v>
      </c>
      <c r="G13" s="9">
        <v>2252.7132539999998</v>
      </c>
      <c r="H13" s="66">
        <v>66455.040992999988</v>
      </c>
      <c r="I13" s="9">
        <v>2598.1379724879798</v>
      </c>
      <c r="J13" s="10">
        <v>1.1533371892204352</v>
      </c>
      <c r="K13" s="66">
        <v>18243.706309490597</v>
      </c>
      <c r="L13" s="69">
        <v>84698.747302490578</v>
      </c>
      <c r="M13" s="64">
        <v>1546979.4576568401</v>
      </c>
      <c r="N13" s="67">
        <v>31008.12294496629</v>
      </c>
      <c r="O13" s="64">
        <f t="shared" si="0"/>
        <v>115706.87024745687</v>
      </c>
      <c r="P13" s="64">
        <f t="shared" si="1"/>
        <v>51.363337096722603</v>
      </c>
    </row>
    <row r="14" spans="1:16" ht="15">
      <c r="A14" s="3" t="str">
        <f>"132399"</f>
        <v>132399</v>
      </c>
      <c r="B14" s="3" t="s">
        <v>2649</v>
      </c>
      <c r="C14" s="61" t="s">
        <v>3303</v>
      </c>
      <c r="D14" s="3" t="s">
        <v>3249</v>
      </c>
      <c r="E14" s="3">
        <v>1</v>
      </c>
      <c r="F14" s="3" t="s">
        <v>3220</v>
      </c>
      <c r="G14" s="9">
        <v>99</v>
      </c>
      <c r="H14" s="66">
        <v>2920.5</v>
      </c>
      <c r="I14" s="9">
        <v>108.03739999999999</v>
      </c>
      <c r="J14" s="10">
        <v>1.0912868686868686</v>
      </c>
      <c r="K14" s="66">
        <v>477.31289214940023</v>
      </c>
      <c r="L14" s="69">
        <v>3397.8128921494003</v>
      </c>
      <c r="M14" s="64">
        <v>0</v>
      </c>
      <c r="N14" s="67">
        <v>0</v>
      </c>
      <c r="O14" s="64">
        <f t="shared" si="0"/>
        <v>3397.8128921494003</v>
      </c>
      <c r="P14" s="64">
        <f t="shared" si="1"/>
        <v>34.321342344943439</v>
      </c>
    </row>
    <row r="15" spans="1:16" ht="15">
      <c r="A15" s="3" t="s">
        <v>82</v>
      </c>
      <c r="B15" s="3" t="s">
        <v>83</v>
      </c>
      <c r="C15" s="61" t="s">
        <v>3303</v>
      </c>
      <c r="D15" s="3" t="s">
        <v>1684</v>
      </c>
      <c r="E15" s="3">
        <v>1</v>
      </c>
      <c r="F15" s="3" t="s">
        <v>3266</v>
      </c>
      <c r="G15" s="9">
        <v>241.122773</v>
      </c>
      <c r="H15" s="66">
        <v>7113.1218035000002</v>
      </c>
      <c r="I15" s="9">
        <v>316.93668043415801</v>
      </c>
      <c r="J15" s="10">
        <v>1.3144203531292251</v>
      </c>
      <c r="K15" s="66">
        <v>4004.1334258243423</v>
      </c>
      <c r="L15" s="69">
        <v>11117.255229324343</v>
      </c>
      <c r="M15" s="64">
        <v>0</v>
      </c>
      <c r="N15" s="67">
        <v>0</v>
      </c>
      <c r="O15" s="64">
        <f t="shared" si="0"/>
        <v>11117.255229324343</v>
      </c>
      <c r="P15" s="64">
        <f t="shared" si="1"/>
        <v>46.106201795067868</v>
      </c>
    </row>
    <row r="16" spans="1:16" ht="15">
      <c r="A16" s="3" t="str">
        <f>"053165"</f>
        <v>053165</v>
      </c>
      <c r="B16" s="3" t="s">
        <v>2823</v>
      </c>
      <c r="C16" s="61" t="s">
        <v>3303</v>
      </c>
      <c r="D16" s="3" t="s">
        <v>3249</v>
      </c>
      <c r="E16" s="3">
        <v>1</v>
      </c>
      <c r="F16" s="3" t="s">
        <v>3220</v>
      </c>
      <c r="G16" s="9">
        <v>254</v>
      </c>
      <c r="H16" s="66">
        <v>7493</v>
      </c>
      <c r="I16" s="9">
        <v>269.9984</v>
      </c>
      <c r="J16" s="10">
        <v>1.0629858267716537</v>
      </c>
      <c r="K16" s="66">
        <v>844.9601183706568</v>
      </c>
      <c r="L16" s="69">
        <v>8337.9601183706563</v>
      </c>
      <c r="M16" s="64">
        <v>0</v>
      </c>
      <c r="N16" s="67">
        <v>0</v>
      </c>
      <c r="O16" s="64">
        <f t="shared" si="0"/>
        <v>8337.9601183706563</v>
      </c>
      <c r="P16" s="64">
        <f t="shared" si="1"/>
        <v>32.826614639254551</v>
      </c>
    </row>
    <row r="17" spans="1:16" ht="15">
      <c r="A17" s="3" t="s">
        <v>675</v>
      </c>
      <c r="B17" s="3" t="s">
        <v>676</v>
      </c>
      <c r="C17" s="61" t="s">
        <v>3303</v>
      </c>
      <c r="D17" s="3" t="s">
        <v>3248</v>
      </c>
      <c r="E17" s="3">
        <v>1</v>
      </c>
      <c r="F17" s="3" t="s">
        <v>1909</v>
      </c>
      <c r="G17" s="9">
        <v>3631.5601240000001</v>
      </c>
      <c r="H17" s="66">
        <v>107131.02365800001</v>
      </c>
      <c r="I17" s="9">
        <v>4995.6573004391603</v>
      </c>
      <c r="J17" s="10">
        <v>1.3756229085742544</v>
      </c>
      <c r="K17" s="66">
        <v>72045.186498219278</v>
      </c>
      <c r="L17" s="69">
        <v>179176.21015621928</v>
      </c>
      <c r="M17" s="64">
        <v>764411.20102864644</v>
      </c>
      <c r="N17" s="67">
        <v>15322.088722437024</v>
      </c>
      <c r="O17" s="64">
        <f t="shared" si="0"/>
        <v>194498.29887865629</v>
      </c>
      <c r="P17" s="64">
        <f t="shared" si="1"/>
        <v>53.557780192945053</v>
      </c>
    </row>
    <row r="18" spans="1:16" ht="15">
      <c r="A18" s="3" t="s">
        <v>962</v>
      </c>
      <c r="B18" s="3" t="s">
        <v>963</v>
      </c>
      <c r="C18" s="61" t="s">
        <v>3303</v>
      </c>
      <c r="D18" s="3" t="s">
        <v>3248</v>
      </c>
      <c r="E18" s="3">
        <v>1</v>
      </c>
      <c r="F18" s="3" t="s">
        <v>1905</v>
      </c>
      <c r="G18" s="9">
        <v>710.79081299999996</v>
      </c>
      <c r="H18" s="66">
        <v>20968.3289835</v>
      </c>
      <c r="I18" s="9">
        <v>959.37078920856595</v>
      </c>
      <c r="J18" s="10">
        <v>1.3497231135548822</v>
      </c>
      <c r="K18" s="66">
        <v>13128.823264936804</v>
      </c>
      <c r="L18" s="69">
        <v>34097.152248436803</v>
      </c>
      <c r="M18" s="64">
        <v>479729.7666779632</v>
      </c>
      <c r="N18" s="67">
        <v>9615.8481690776589</v>
      </c>
      <c r="O18" s="64">
        <f t="shared" si="0"/>
        <v>43713.000417514464</v>
      </c>
      <c r="P18" s="64">
        <f t="shared" si="1"/>
        <v>61.499107216956205</v>
      </c>
    </row>
    <row r="19" spans="1:16" ht="15">
      <c r="A19" s="3" t="s">
        <v>964</v>
      </c>
      <c r="B19" s="3" t="s">
        <v>965</v>
      </c>
      <c r="C19" s="61" t="s">
        <v>3303</v>
      </c>
      <c r="D19" s="3" t="s">
        <v>3248</v>
      </c>
      <c r="E19" s="3">
        <v>1</v>
      </c>
      <c r="F19" s="3" t="s">
        <v>1906</v>
      </c>
      <c r="G19" s="9">
        <v>2325.4490049999999</v>
      </c>
      <c r="H19" s="66">
        <v>68600.745647499993</v>
      </c>
      <c r="I19" s="9">
        <v>2525.9788148572802</v>
      </c>
      <c r="J19" s="10">
        <v>1.0862327272823944</v>
      </c>
      <c r="K19" s="66">
        <v>10591.039846100412</v>
      </c>
      <c r="L19" s="69">
        <v>79191.785493600401</v>
      </c>
      <c r="M19" s="64">
        <v>1481459.7508952355</v>
      </c>
      <c r="N19" s="67">
        <v>29694.826176527462</v>
      </c>
      <c r="O19" s="64">
        <f t="shared" si="0"/>
        <v>108886.61167012787</v>
      </c>
      <c r="P19" s="64">
        <f t="shared" si="1"/>
        <v>46.823908602600326</v>
      </c>
    </row>
    <row r="20" spans="1:16" ht="15">
      <c r="A20" s="3" t="s">
        <v>966</v>
      </c>
      <c r="B20" s="3" t="s">
        <v>967</v>
      </c>
      <c r="C20" s="61" t="s">
        <v>3303</v>
      </c>
      <c r="D20" s="3" t="s">
        <v>3248</v>
      </c>
      <c r="E20" s="3">
        <v>1</v>
      </c>
      <c r="F20" s="3" t="s">
        <v>3224</v>
      </c>
      <c r="G20" s="9">
        <v>930.02400499999999</v>
      </c>
      <c r="H20" s="66">
        <v>27435.708147500001</v>
      </c>
      <c r="I20" s="9">
        <v>1113.2202638666699</v>
      </c>
      <c r="J20" s="10">
        <v>1.1969801401703282</v>
      </c>
      <c r="K20" s="66">
        <v>9675.5633423994204</v>
      </c>
      <c r="L20" s="69">
        <v>37111.271489899424</v>
      </c>
      <c r="M20" s="64">
        <v>811423.39522342267</v>
      </c>
      <c r="N20" s="67">
        <v>16264.415325604899</v>
      </c>
      <c r="O20" s="64">
        <f t="shared" si="0"/>
        <v>53375.686815504319</v>
      </c>
      <c r="P20" s="64">
        <f t="shared" si="1"/>
        <v>57.391730244107322</v>
      </c>
    </row>
    <row r="21" spans="1:16" ht="15">
      <c r="A21" s="3" t="str">
        <f>"058875"</f>
        <v>058875</v>
      </c>
      <c r="B21" s="3" t="s">
        <v>2866</v>
      </c>
      <c r="C21" s="61" t="s">
        <v>3303</v>
      </c>
      <c r="D21" s="3" t="s">
        <v>3249</v>
      </c>
      <c r="E21" s="3">
        <v>1</v>
      </c>
      <c r="F21" s="3" t="s">
        <v>3220</v>
      </c>
      <c r="G21" s="9">
        <v>382</v>
      </c>
      <c r="H21" s="66">
        <v>11269</v>
      </c>
      <c r="I21" s="9">
        <v>411.1472</v>
      </c>
      <c r="J21" s="10">
        <v>1.0763015706806283</v>
      </c>
      <c r="K21" s="66">
        <v>1539.4177894147667</v>
      </c>
      <c r="L21" s="69">
        <v>12808.417789414767</v>
      </c>
      <c r="M21" s="64">
        <v>0</v>
      </c>
      <c r="N21" s="67">
        <v>0</v>
      </c>
      <c r="O21" s="64">
        <f t="shared" si="0"/>
        <v>12808.417789414767</v>
      </c>
      <c r="P21" s="64">
        <f t="shared" si="1"/>
        <v>33.529889501085776</v>
      </c>
    </row>
    <row r="22" spans="1:16" ht="15">
      <c r="A22" s="3" t="str">
        <f>"058941"</f>
        <v>058941</v>
      </c>
      <c r="B22" s="3" t="s">
        <v>2844</v>
      </c>
      <c r="C22" s="61" t="s">
        <v>3303</v>
      </c>
      <c r="D22" s="3" t="s">
        <v>3249</v>
      </c>
      <c r="E22" s="3">
        <v>1</v>
      </c>
      <c r="F22" s="3" t="s">
        <v>3220</v>
      </c>
      <c r="G22" s="9">
        <v>174</v>
      </c>
      <c r="H22" s="66">
        <v>5133</v>
      </c>
      <c r="I22" s="9">
        <v>197.31060000000002</v>
      </c>
      <c r="J22" s="10">
        <v>1.1339689655172416</v>
      </c>
      <c r="K22" s="66">
        <v>1231.1560740630969</v>
      </c>
      <c r="L22" s="69">
        <v>6364.1560740630966</v>
      </c>
      <c r="M22" s="64">
        <v>0</v>
      </c>
      <c r="N22" s="67">
        <v>0</v>
      </c>
      <c r="O22" s="64">
        <f t="shared" si="0"/>
        <v>6364.1560740630966</v>
      </c>
      <c r="P22" s="64">
        <f t="shared" si="1"/>
        <v>36.57560962105228</v>
      </c>
    </row>
    <row r="23" spans="1:16" ht="15">
      <c r="A23" s="3" t="str">
        <f>"053645"</f>
        <v>053645</v>
      </c>
      <c r="B23" s="3" t="s">
        <v>2941</v>
      </c>
      <c r="C23" s="61" t="s">
        <v>3303</v>
      </c>
      <c r="D23" s="3" t="s">
        <v>3249</v>
      </c>
      <c r="E23" s="3">
        <v>1</v>
      </c>
      <c r="F23" s="3" t="s">
        <v>3220</v>
      </c>
      <c r="G23" s="9">
        <v>603</v>
      </c>
      <c r="H23" s="66">
        <v>17788.5</v>
      </c>
      <c r="I23" s="9">
        <v>674.10419999999999</v>
      </c>
      <c r="J23" s="10">
        <v>1.1179174129353233</v>
      </c>
      <c r="K23" s="66">
        <v>3755.3888669273701</v>
      </c>
      <c r="L23" s="69">
        <v>21543.888866927369</v>
      </c>
      <c r="M23" s="64">
        <v>0</v>
      </c>
      <c r="N23" s="67">
        <v>0</v>
      </c>
      <c r="O23" s="64">
        <f t="shared" si="0"/>
        <v>21543.888866927369</v>
      </c>
      <c r="P23" s="64">
        <f t="shared" si="1"/>
        <v>35.727842233710398</v>
      </c>
    </row>
    <row r="24" spans="1:16" ht="15">
      <c r="A24" s="3" t="str">
        <f>"059444"</f>
        <v>059444</v>
      </c>
      <c r="B24" s="3" t="s">
        <v>2721</v>
      </c>
      <c r="C24" s="61" t="s">
        <v>3303</v>
      </c>
      <c r="D24" s="3" t="s">
        <v>3249</v>
      </c>
      <c r="E24" s="3">
        <v>1</v>
      </c>
      <c r="F24" s="3" t="s">
        <v>3220</v>
      </c>
      <c r="G24" s="9">
        <v>113</v>
      </c>
      <c r="H24" s="66">
        <v>3333.5</v>
      </c>
      <c r="I24" s="9">
        <v>128.07400000000001</v>
      </c>
      <c r="J24" s="10">
        <v>1.1333982300884957</v>
      </c>
      <c r="K24" s="66">
        <v>796.13766528648421</v>
      </c>
      <c r="L24" s="69">
        <v>4129.6376652864838</v>
      </c>
      <c r="M24" s="64">
        <v>0</v>
      </c>
      <c r="N24" s="67">
        <v>0</v>
      </c>
      <c r="O24" s="64">
        <f t="shared" si="0"/>
        <v>4129.6376652864838</v>
      </c>
      <c r="P24" s="64">
        <f t="shared" si="1"/>
        <v>36.545466064482156</v>
      </c>
    </row>
    <row r="25" spans="1:16" ht="15">
      <c r="A25" s="3" t="str">
        <f>"008071"</f>
        <v>008071</v>
      </c>
      <c r="B25" s="3" t="s">
        <v>2766</v>
      </c>
      <c r="C25" s="61" t="s">
        <v>3303</v>
      </c>
      <c r="D25" s="3" t="s">
        <v>3249</v>
      </c>
      <c r="E25" s="3">
        <v>1</v>
      </c>
      <c r="F25" s="3" t="s">
        <v>3220</v>
      </c>
      <c r="G25" s="9">
        <v>233</v>
      </c>
      <c r="H25" s="66">
        <v>6873.5</v>
      </c>
      <c r="I25" s="9">
        <v>241.84880000000001</v>
      </c>
      <c r="J25" s="10">
        <v>1.0379776824034335</v>
      </c>
      <c r="K25" s="66">
        <v>467.35192865775809</v>
      </c>
      <c r="L25" s="69">
        <v>7340.8519286577584</v>
      </c>
      <c r="M25" s="64">
        <v>0</v>
      </c>
      <c r="N25" s="67">
        <v>0</v>
      </c>
      <c r="O25" s="64">
        <f t="shared" si="0"/>
        <v>7340.8519286577584</v>
      </c>
      <c r="P25" s="64">
        <f t="shared" si="1"/>
        <v>31.505802268917417</v>
      </c>
    </row>
    <row r="26" spans="1:16" ht="15">
      <c r="A26" s="3" t="str">
        <f>"012974"</f>
        <v>012974</v>
      </c>
      <c r="B26" s="3" t="s">
        <v>2937</v>
      </c>
      <c r="C26" s="61" t="s">
        <v>3303</v>
      </c>
      <c r="D26" s="3" t="s">
        <v>3249</v>
      </c>
      <c r="E26" s="3">
        <v>1</v>
      </c>
      <c r="F26" s="3" t="s">
        <v>3220</v>
      </c>
      <c r="G26" s="9">
        <v>78</v>
      </c>
      <c r="H26" s="66">
        <v>2301</v>
      </c>
      <c r="I26" s="9">
        <v>137.71719999999999</v>
      </c>
      <c r="J26" s="10">
        <v>1.7656051282051282</v>
      </c>
      <c r="K26" s="66">
        <v>3153.9811719149525</v>
      </c>
      <c r="L26" s="69">
        <v>5454.9811719149529</v>
      </c>
      <c r="M26" s="64">
        <v>0</v>
      </c>
      <c r="N26" s="67">
        <v>0</v>
      </c>
      <c r="O26" s="64">
        <f t="shared" si="0"/>
        <v>5454.9811719149529</v>
      </c>
      <c r="P26" s="64">
        <f t="shared" si="1"/>
        <v>69.93565605019171</v>
      </c>
    </row>
    <row r="27" spans="1:16" ht="15">
      <c r="A27" s="3" t="s">
        <v>451</v>
      </c>
      <c r="B27" s="3" t="s">
        <v>1842</v>
      </c>
      <c r="C27" s="61" t="s">
        <v>3303</v>
      </c>
      <c r="D27" s="3" t="s">
        <v>1684</v>
      </c>
      <c r="E27" s="3">
        <v>1</v>
      </c>
      <c r="F27" s="3" t="s">
        <v>3266</v>
      </c>
      <c r="G27" s="9">
        <v>58.966608000000001</v>
      </c>
      <c r="H27" s="66">
        <v>1739.514936</v>
      </c>
      <c r="I27" s="9">
        <v>77.8182840833923</v>
      </c>
      <c r="J27" s="10">
        <v>1.3197008734738871</v>
      </c>
      <c r="K27" s="66">
        <v>995.65671910368758</v>
      </c>
      <c r="L27" s="69">
        <v>2735.1716551036875</v>
      </c>
      <c r="M27" s="64">
        <v>0</v>
      </c>
      <c r="N27" s="67">
        <v>0</v>
      </c>
      <c r="O27" s="64">
        <f t="shared" si="0"/>
        <v>2735.1716551036875</v>
      </c>
      <c r="P27" s="64">
        <f t="shared" si="1"/>
        <v>46.385094002756396</v>
      </c>
    </row>
    <row r="28" spans="1:16" ht="15">
      <c r="A28" s="3" t="str">
        <f>"068338"</f>
        <v>068338</v>
      </c>
      <c r="B28" s="3" t="s">
        <v>3121</v>
      </c>
      <c r="C28" s="61" t="s">
        <v>3310</v>
      </c>
      <c r="D28" s="3" t="s">
        <v>3249</v>
      </c>
      <c r="E28" s="3">
        <v>1</v>
      </c>
      <c r="F28" s="3" t="s">
        <v>3220</v>
      </c>
      <c r="G28" s="9">
        <v>132</v>
      </c>
      <c r="H28" s="66">
        <v>3894</v>
      </c>
      <c r="I28" s="9">
        <v>132</v>
      </c>
      <c r="J28" s="10">
        <v>1</v>
      </c>
      <c r="K28" s="66">
        <v>0</v>
      </c>
      <c r="L28" s="69">
        <v>3894</v>
      </c>
      <c r="M28" s="64">
        <v>0</v>
      </c>
      <c r="N28" s="67">
        <v>0</v>
      </c>
      <c r="O28" s="64">
        <f t="shared" si="0"/>
        <v>3894</v>
      </c>
      <c r="P28" s="64">
        <f t="shared" si="1"/>
        <v>29.5</v>
      </c>
    </row>
    <row r="29" spans="1:16" ht="15">
      <c r="A29" s="3" t="s">
        <v>549</v>
      </c>
      <c r="B29" s="3" t="s">
        <v>550</v>
      </c>
      <c r="C29" s="61" t="s">
        <v>3310</v>
      </c>
      <c r="D29" s="3" t="s">
        <v>3248</v>
      </c>
      <c r="E29" s="3">
        <v>1</v>
      </c>
      <c r="F29" s="3" t="s">
        <v>1905</v>
      </c>
      <c r="G29" s="9">
        <v>3176.103944</v>
      </c>
      <c r="H29" s="66">
        <v>93695.066347999993</v>
      </c>
      <c r="I29" s="9">
        <v>3665.8045131693598</v>
      </c>
      <c r="J29" s="10">
        <v>1.1541827905520714</v>
      </c>
      <c r="K29" s="66">
        <v>25863.677048424855</v>
      </c>
      <c r="L29" s="69">
        <v>119558.74339642485</v>
      </c>
      <c r="M29" s="64">
        <v>1392039.8010014847</v>
      </c>
      <c r="N29" s="67">
        <v>27902.465724477293</v>
      </c>
      <c r="O29" s="64">
        <f t="shared" si="0"/>
        <v>147461.20912090215</v>
      </c>
      <c r="P29" s="64">
        <f t="shared" si="1"/>
        <v>46.428332233733137</v>
      </c>
    </row>
    <row r="30" spans="1:16" ht="15">
      <c r="A30" s="19">
        <v>69625</v>
      </c>
      <c r="B30" s="20" t="s">
        <v>1925</v>
      </c>
      <c r="C30" s="61" t="s">
        <v>3310</v>
      </c>
      <c r="D30" s="19" t="s">
        <v>1973</v>
      </c>
      <c r="E30" s="19">
        <v>1</v>
      </c>
      <c r="F30" s="19" t="s">
        <v>1974</v>
      </c>
      <c r="G30" s="9">
        <v>36.519999999999996</v>
      </c>
      <c r="H30" s="66">
        <v>1077.3399999999999</v>
      </c>
      <c r="I30" s="9">
        <v>159.86729199999999</v>
      </c>
      <c r="J30" s="10">
        <v>4.3775271631982475</v>
      </c>
      <c r="K30" s="66">
        <v>6514.6228653502822</v>
      </c>
      <c r="L30" s="69">
        <v>7591.9628653502823</v>
      </c>
      <c r="M30" s="64">
        <v>0</v>
      </c>
      <c r="N30" s="67">
        <v>0</v>
      </c>
      <c r="O30" s="64">
        <f t="shared" si="0"/>
        <v>7591.9628653502823</v>
      </c>
      <c r="P30" s="64">
        <f t="shared" si="1"/>
        <v>207.88507298330458</v>
      </c>
    </row>
    <row r="31" spans="1:16" ht="15">
      <c r="A31" s="3" t="s">
        <v>174</v>
      </c>
      <c r="B31" s="3" t="s">
        <v>175</v>
      </c>
      <c r="C31" s="61" t="s">
        <v>3310</v>
      </c>
      <c r="D31" s="3" t="s">
        <v>1684</v>
      </c>
      <c r="E31" s="3">
        <v>1</v>
      </c>
      <c r="F31" s="3" t="s">
        <v>3266</v>
      </c>
      <c r="G31" s="9">
        <v>83.551473999999999</v>
      </c>
      <c r="H31" s="66">
        <v>2464.7684829999998</v>
      </c>
      <c r="I31" s="9">
        <v>107.84740461816099</v>
      </c>
      <c r="J31" s="10">
        <v>1.2907899700029348</v>
      </c>
      <c r="K31" s="66">
        <v>1283.1965953499462</v>
      </c>
      <c r="L31" s="69">
        <v>3747.965078349946</v>
      </c>
      <c r="M31" s="64">
        <v>0</v>
      </c>
      <c r="N31" s="67">
        <v>0</v>
      </c>
      <c r="O31" s="64">
        <f t="shared" si="0"/>
        <v>3747.965078349946</v>
      </c>
      <c r="P31" s="64">
        <f t="shared" si="1"/>
        <v>44.858156282795754</v>
      </c>
    </row>
    <row r="32" spans="1:16" ht="15">
      <c r="A32" s="3" t="s">
        <v>526</v>
      </c>
      <c r="B32" s="3" t="s">
        <v>527</v>
      </c>
      <c r="C32" s="61" t="s">
        <v>3310</v>
      </c>
      <c r="D32" s="3" t="s">
        <v>456</v>
      </c>
      <c r="E32" s="3">
        <v>1</v>
      </c>
      <c r="F32" s="3" t="s">
        <v>1897</v>
      </c>
      <c r="G32" s="9">
        <v>425.664806</v>
      </c>
      <c r="H32" s="66">
        <v>12557.111777</v>
      </c>
      <c r="I32" s="9">
        <v>518.90241817712604</v>
      </c>
      <c r="J32" s="10">
        <v>1.2190399837216659</v>
      </c>
      <c r="K32" s="66">
        <v>4924.3714260039633</v>
      </c>
      <c r="L32" s="69">
        <v>17481.483203003962</v>
      </c>
      <c r="M32" s="64">
        <v>0</v>
      </c>
      <c r="N32" s="67">
        <v>0</v>
      </c>
      <c r="O32" s="64">
        <f t="shared" si="0"/>
        <v>17481.483203003962</v>
      </c>
      <c r="P32" s="64">
        <f t="shared" si="1"/>
        <v>41.068660026838025</v>
      </c>
    </row>
    <row r="33" spans="1:16" ht="15">
      <c r="A33" s="3" t="s">
        <v>968</v>
      </c>
      <c r="B33" s="3" t="s">
        <v>969</v>
      </c>
      <c r="C33" s="61" t="s">
        <v>3310</v>
      </c>
      <c r="D33" s="3" t="s">
        <v>3248</v>
      </c>
      <c r="E33" s="3">
        <v>1</v>
      </c>
      <c r="F33" s="3" t="s">
        <v>3224</v>
      </c>
      <c r="G33" s="9">
        <v>770.89408800000001</v>
      </c>
      <c r="H33" s="66">
        <v>22741.375596000002</v>
      </c>
      <c r="I33" s="9">
        <v>874.13927619208903</v>
      </c>
      <c r="J33" s="10">
        <v>1.1339291477250102</v>
      </c>
      <c r="K33" s="66">
        <v>5452.9244446937355</v>
      </c>
      <c r="L33" s="69">
        <v>28194.300040693735</v>
      </c>
      <c r="M33" s="64">
        <v>818103.37322681013</v>
      </c>
      <c r="N33" s="67">
        <v>16398.310819933213</v>
      </c>
      <c r="O33" s="64">
        <f t="shared" si="0"/>
        <v>44592.610860626948</v>
      </c>
      <c r="P33" s="64">
        <f t="shared" si="1"/>
        <v>57.845314362596262</v>
      </c>
    </row>
    <row r="34" spans="1:16" ht="15">
      <c r="A34" s="3" t="s">
        <v>912</v>
      </c>
      <c r="B34" s="3" t="s">
        <v>913</v>
      </c>
      <c r="C34" s="61" t="s">
        <v>3310</v>
      </c>
      <c r="D34" s="3" t="s">
        <v>3248</v>
      </c>
      <c r="E34" s="3">
        <v>1</v>
      </c>
      <c r="F34" s="3" t="s">
        <v>3223</v>
      </c>
      <c r="G34" s="9">
        <v>1008.2891080000001</v>
      </c>
      <c r="H34" s="66">
        <v>29744.528686000001</v>
      </c>
      <c r="I34" s="9">
        <v>1312.74653649628</v>
      </c>
      <c r="J34" s="10">
        <v>1.3019544950755135</v>
      </c>
      <c r="K34" s="66">
        <v>16080.007052020355</v>
      </c>
      <c r="L34" s="69">
        <v>45824.535738020357</v>
      </c>
      <c r="M34" s="64">
        <v>709835.84957942925</v>
      </c>
      <c r="N34" s="67">
        <v>14228.163913593529</v>
      </c>
      <c r="O34" s="64">
        <f t="shared" si="0"/>
        <v>60052.69965161389</v>
      </c>
      <c r="P34" s="64">
        <f t="shared" si="1"/>
        <v>59.559008596980583</v>
      </c>
    </row>
    <row r="35" spans="1:16" ht="15">
      <c r="A35" s="3" t="s">
        <v>970</v>
      </c>
      <c r="B35" s="3" t="s">
        <v>971</v>
      </c>
      <c r="C35" s="61" t="s">
        <v>3310</v>
      </c>
      <c r="D35" s="3" t="s">
        <v>3248</v>
      </c>
      <c r="E35" s="3">
        <v>1</v>
      </c>
      <c r="F35" s="3" t="s">
        <v>3224</v>
      </c>
      <c r="G35" s="9">
        <v>887.28880900000001</v>
      </c>
      <c r="H35" s="66">
        <v>26175.019865500002</v>
      </c>
      <c r="I35" s="9">
        <v>1005.8393268178399</v>
      </c>
      <c r="J35" s="10">
        <v>1.1336098422693393</v>
      </c>
      <c r="K35" s="66">
        <v>6261.2798510016428</v>
      </c>
      <c r="L35" s="69">
        <v>32436.299716501646</v>
      </c>
      <c r="M35" s="64">
        <v>748552.18727234332</v>
      </c>
      <c r="N35" s="67">
        <v>15004.205866328379</v>
      </c>
      <c r="O35" s="64">
        <f t="shared" si="0"/>
        <v>47440.505582830025</v>
      </c>
      <c r="P35" s="64">
        <f t="shared" si="1"/>
        <v>53.466813850945371</v>
      </c>
    </row>
    <row r="36" spans="1:16" ht="15">
      <c r="A36" s="3" t="str">
        <f>"057125"</f>
        <v>057125</v>
      </c>
      <c r="B36" s="3" t="s">
        <v>2659</v>
      </c>
      <c r="C36" s="61" t="s">
        <v>3310</v>
      </c>
      <c r="D36" s="3" t="s">
        <v>3249</v>
      </c>
      <c r="E36" s="3">
        <v>1</v>
      </c>
      <c r="F36" s="3" t="s">
        <v>3220</v>
      </c>
      <c r="G36" s="9">
        <v>111</v>
      </c>
      <c r="H36" s="66">
        <v>3274.5</v>
      </c>
      <c r="I36" s="9">
        <v>114.4748</v>
      </c>
      <c r="J36" s="10">
        <v>1.0313045045045046</v>
      </c>
      <c r="K36" s="66">
        <v>183.52256596374386</v>
      </c>
      <c r="L36" s="69">
        <v>3458.022565963744</v>
      </c>
      <c r="M36" s="64">
        <v>0</v>
      </c>
      <c r="N36" s="67">
        <v>0</v>
      </c>
      <c r="O36" s="64">
        <f t="shared" si="0"/>
        <v>3458.022565963744</v>
      </c>
      <c r="P36" s="64">
        <f t="shared" si="1"/>
        <v>31.15335645012382</v>
      </c>
    </row>
    <row r="37" spans="1:16" ht="15">
      <c r="A37" s="3" t="s">
        <v>551</v>
      </c>
      <c r="B37" s="3" t="s">
        <v>552</v>
      </c>
      <c r="C37" s="61" t="s">
        <v>3306</v>
      </c>
      <c r="D37" s="3" t="s">
        <v>3248</v>
      </c>
      <c r="E37" s="3">
        <v>1</v>
      </c>
      <c r="F37" s="3" t="s">
        <v>1905</v>
      </c>
      <c r="G37" s="9">
        <v>3408.3433610000002</v>
      </c>
      <c r="H37" s="66">
        <v>100546.1291495</v>
      </c>
      <c r="I37" s="9">
        <v>5053.7685684806202</v>
      </c>
      <c r="J37" s="10">
        <v>1.4827639217070712</v>
      </c>
      <c r="K37" s="66">
        <v>86903.607740954525</v>
      </c>
      <c r="L37" s="69">
        <v>187449.73689045454</v>
      </c>
      <c r="M37" s="64">
        <v>2402277.8730601943</v>
      </c>
      <c r="N37" s="67">
        <v>48151.982411356919</v>
      </c>
      <c r="O37" s="64">
        <f t="shared" si="0"/>
        <v>235601.71930181148</v>
      </c>
      <c r="P37" s="64">
        <f t="shared" si="1"/>
        <v>69.124995444322394</v>
      </c>
    </row>
    <row r="38" spans="1:16" ht="15">
      <c r="A38" s="3" t="s">
        <v>459</v>
      </c>
      <c r="B38" s="3" t="s">
        <v>1843</v>
      </c>
      <c r="C38" s="61" t="s">
        <v>3306</v>
      </c>
      <c r="D38" s="3" t="s">
        <v>456</v>
      </c>
      <c r="E38" s="3">
        <v>1</v>
      </c>
      <c r="F38" s="3" t="s">
        <v>1897</v>
      </c>
      <c r="G38" s="9">
        <v>643.39578200000005</v>
      </c>
      <c r="H38" s="66">
        <v>18980.175569000003</v>
      </c>
      <c r="I38" s="9">
        <v>877.05374808285296</v>
      </c>
      <c r="J38" s="10">
        <v>1.3631636585439302</v>
      </c>
      <c r="K38" s="66">
        <v>12340.712988774769</v>
      </c>
      <c r="L38" s="69">
        <v>31320.888557774771</v>
      </c>
      <c r="M38" s="64">
        <v>0</v>
      </c>
      <c r="N38" s="67">
        <v>0</v>
      </c>
      <c r="O38" s="64">
        <f t="shared" si="0"/>
        <v>31320.888557774771</v>
      </c>
      <c r="P38" s="64">
        <f t="shared" si="1"/>
        <v>48.680593553805373</v>
      </c>
    </row>
    <row r="39" spans="1:16" ht="15">
      <c r="A39" s="3" t="s">
        <v>972</v>
      </c>
      <c r="B39" s="3" t="s">
        <v>973</v>
      </c>
      <c r="C39" s="61" t="s">
        <v>3306</v>
      </c>
      <c r="D39" s="3" t="s">
        <v>3248</v>
      </c>
      <c r="E39" s="3">
        <v>1</v>
      </c>
      <c r="F39" s="3" t="s">
        <v>1905</v>
      </c>
      <c r="G39" s="9">
        <v>1697.374523</v>
      </c>
      <c r="H39" s="66">
        <v>50072.548428499998</v>
      </c>
      <c r="I39" s="9">
        <v>2062.5159422616898</v>
      </c>
      <c r="J39" s="10">
        <v>1.21512130311484</v>
      </c>
      <c r="K39" s="66">
        <v>19285.049557542443</v>
      </c>
      <c r="L39" s="69">
        <v>69357.597986042441</v>
      </c>
      <c r="M39" s="64">
        <v>1265079.7848186672</v>
      </c>
      <c r="N39" s="67">
        <v>25357.640858570765</v>
      </c>
      <c r="O39" s="64">
        <f t="shared" si="0"/>
        <v>94715.23884461321</v>
      </c>
      <c r="P39" s="64">
        <f t="shared" si="1"/>
        <v>55.801025384315381</v>
      </c>
    </row>
    <row r="40" spans="1:16" ht="15">
      <c r="A40" s="3" t="s">
        <v>606</v>
      </c>
      <c r="B40" s="3" t="s">
        <v>607</v>
      </c>
      <c r="C40" s="61" t="s">
        <v>3306</v>
      </c>
      <c r="D40" s="3" t="s">
        <v>3248</v>
      </c>
      <c r="E40" s="3">
        <v>1</v>
      </c>
      <c r="F40" s="3" t="s">
        <v>1905</v>
      </c>
      <c r="G40" s="9">
        <v>1548.5007459999999</v>
      </c>
      <c r="H40" s="66">
        <v>45680.772007</v>
      </c>
      <c r="I40" s="9">
        <v>2049.3464183864298</v>
      </c>
      <c r="J40" s="10">
        <v>1.3234390901523208</v>
      </c>
      <c r="K40" s="66">
        <v>26452.308894956303</v>
      </c>
      <c r="L40" s="69">
        <v>72133.080901956302</v>
      </c>
      <c r="M40" s="64">
        <v>1195496.8538290369</v>
      </c>
      <c r="N40" s="67">
        <v>23962.899597904216</v>
      </c>
      <c r="O40" s="64">
        <f t="shared" si="0"/>
        <v>96095.98049986051</v>
      </c>
      <c r="P40" s="64">
        <f t="shared" si="1"/>
        <v>62.057432486287297</v>
      </c>
    </row>
    <row r="41" spans="1:16" ht="15">
      <c r="A41" s="3" t="s">
        <v>647</v>
      </c>
      <c r="B41" s="3" t="s">
        <v>648</v>
      </c>
      <c r="C41" s="61" t="s">
        <v>3306</v>
      </c>
      <c r="D41" s="3" t="s">
        <v>3248</v>
      </c>
      <c r="E41" s="3">
        <v>1</v>
      </c>
      <c r="F41" s="3" t="s">
        <v>1905</v>
      </c>
      <c r="G41" s="9">
        <v>2214.1768569999999</v>
      </c>
      <c r="H41" s="66">
        <v>65318.217281500001</v>
      </c>
      <c r="I41" s="9">
        <v>2787.6795195343502</v>
      </c>
      <c r="J41" s="10">
        <v>1.2590139359108794</v>
      </c>
      <c r="K41" s="66">
        <v>30289.708822189183</v>
      </c>
      <c r="L41" s="69">
        <v>95607.926103689184</v>
      </c>
      <c r="M41" s="64">
        <v>954945.28426373331</v>
      </c>
      <c r="N41" s="67">
        <v>19141.211367484186</v>
      </c>
      <c r="O41" s="64">
        <f t="shared" si="0"/>
        <v>114749.13747117337</v>
      </c>
      <c r="P41" s="64">
        <f t="shared" si="1"/>
        <v>51.824738890391792</v>
      </c>
    </row>
    <row r="42" spans="1:16" ht="15">
      <c r="A42" s="3" t="str">
        <f>"062463"</f>
        <v>062463</v>
      </c>
      <c r="B42" s="3" t="s">
        <v>3127</v>
      </c>
      <c r="C42" s="61" t="s">
        <v>3306</v>
      </c>
      <c r="D42" s="3" t="s">
        <v>3249</v>
      </c>
      <c r="E42" s="3">
        <v>1</v>
      </c>
      <c r="F42" s="3" t="s">
        <v>3220</v>
      </c>
      <c r="G42" s="9">
        <v>19</v>
      </c>
      <c r="H42" s="66">
        <v>560.5</v>
      </c>
      <c r="I42" s="9">
        <v>19</v>
      </c>
      <c r="J42" s="10">
        <v>1</v>
      </c>
      <c r="K42" s="66">
        <v>0</v>
      </c>
      <c r="L42" s="69">
        <v>560.5</v>
      </c>
      <c r="M42" s="64">
        <v>0</v>
      </c>
      <c r="N42" s="67">
        <v>0</v>
      </c>
      <c r="O42" s="64">
        <f t="shared" si="0"/>
        <v>560.5</v>
      </c>
      <c r="P42" s="64">
        <f t="shared" si="1"/>
        <v>29.5</v>
      </c>
    </row>
    <row r="43" spans="1:16" ht="15">
      <c r="A43" s="3" t="s">
        <v>974</v>
      </c>
      <c r="B43" s="3" t="s">
        <v>975</v>
      </c>
      <c r="C43" s="61" t="s">
        <v>3306</v>
      </c>
      <c r="D43" s="3" t="s">
        <v>3248</v>
      </c>
      <c r="E43" s="3">
        <v>1</v>
      </c>
      <c r="F43" s="3" t="s">
        <v>3223</v>
      </c>
      <c r="G43" s="9">
        <v>1066.0821539999999</v>
      </c>
      <c r="H43" s="66">
        <v>31449.423542999997</v>
      </c>
      <c r="I43" s="9">
        <v>1311.3113440219299</v>
      </c>
      <c r="J43" s="10">
        <v>1.2300284167611439</v>
      </c>
      <c r="K43" s="66">
        <v>12951.850524356823</v>
      </c>
      <c r="L43" s="69">
        <v>44401.274067356819</v>
      </c>
      <c r="M43" s="64">
        <v>1412383.255014387</v>
      </c>
      <c r="N43" s="67">
        <v>28310.236053963636</v>
      </c>
      <c r="O43" s="64">
        <f t="shared" si="0"/>
        <v>72711.510121320462</v>
      </c>
      <c r="P43" s="64">
        <f t="shared" si="1"/>
        <v>68.204415436936827</v>
      </c>
    </row>
    <row r="44" spans="1:16" ht="15">
      <c r="A44" s="3" t="s">
        <v>976</v>
      </c>
      <c r="B44" s="3" t="s">
        <v>977</v>
      </c>
      <c r="C44" s="61" t="s">
        <v>3306</v>
      </c>
      <c r="D44" s="3" t="s">
        <v>3248</v>
      </c>
      <c r="E44" s="3">
        <v>1</v>
      </c>
      <c r="F44" s="3" t="s">
        <v>1904</v>
      </c>
      <c r="G44" s="9">
        <v>1652.178557</v>
      </c>
      <c r="H44" s="66">
        <v>48739.267431499997</v>
      </c>
      <c r="I44" s="9">
        <v>2042.3236527306999</v>
      </c>
      <c r="J44" s="10">
        <v>1.2361397889336607</v>
      </c>
      <c r="K44" s="66">
        <v>20605.625954491912</v>
      </c>
      <c r="L44" s="69">
        <v>69344.893385991905</v>
      </c>
      <c r="M44" s="64">
        <v>1566525.9427444036</v>
      </c>
      <c r="N44" s="67">
        <v>31399.91858888205</v>
      </c>
      <c r="O44" s="64">
        <f t="shared" si="0"/>
        <v>100744.81197487396</v>
      </c>
      <c r="P44" s="64">
        <f t="shared" si="1"/>
        <v>60.976951642445243</v>
      </c>
    </row>
    <row r="45" spans="1:16" ht="15">
      <c r="A45" s="3" t="s">
        <v>978</v>
      </c>
      <c r="B45" s="3" t="s">
        <v>979</v>
      </c>
      <c r="C45" s="61" t="s">
        <v>3306</v>
      </c>
      <c r="D45" s="3" t="s">
        <v>3248</v>
      </c>
      <c r="E45" s="3">
        <v>1</v>
      </c>
      <c r="F45" s="3" t="s">
        <v>3223</v>
      </c>
      <c r="G45" s="9">
        <v>1129.543285</v>
      </c>
      <c r="H45" s="66">
        <v>33321.526907499996</v>
      </c>
      <c r="I45" s="9">
        <v>1380.16072241303</v>
      </c>
      <c r="J45" s="10">
        <v>1.2218750186390865</v>
      </c>
      <c r="K45" s="66">
        <v>13236.432367128247</v>
      </c>
      <c r="L45" s="69">
        <v>46557.959274628243</v>
      </c>
      <c r="M45" s="64">
        <v>2016696.0433741675</v>
      </c>
      <c r="N45" s="67">
        <v>40423.263894073571</v>
      </c>
      <c r="O45" s="64">
        <f t="shared" si="0"/>
        <v>86981.223168701807</v>
      </c>
      <c r="P45" s="64">
        <f t="shared" si="1"/>
        <v>77.00565735176923</v>
      </c>
    </row>
    <row r="46" spans="1:16" ht="15">
      <c r="A46" s="3" t="str">
        <f>"053637"</f>
        <v>053637</v>
      </c>
      <c r="B46" s="3" t="s">
        <v>2927</v>
      </c>
      <c r="C46" s="61" t="s">
        <v>3306</v>
      </c>
      <c r="D46" s="3" t="s">
        <v>3249</v>
      </c>
      <c r="E46" s="3">
        <v>1</v>
      </c>
      <c r="F46" s="3" t="s">
        <v>3220</v>
      </c>
      <c r="G46" s="9">
        <v>422</v>
      </c>
      <c r="H46" s="66">
        <v>12449</v>
      </c>
      <c r="I46" s="9">
        <v>483.84400000000005</v>
      </c>
      <c r="J46" s="10">
        <v>1.1465497630331756</v>
      </c>
      <c r="K46" s="66">
        <v>3266.3087284050239</v>
      </c>
      <c r="L46" s="69">
        <v>15715.308728405023</v>
      </c>
      <c r="M46" s="64">
        <v>0</v>
      </c>
      <c r="N46" s="67">
        <v>0</v>
      </c>
      <c r="O46" s="64">
        <f t="shared" si="0"/>
        <v>15715.308728405023</v>
      </c>
      <c r="P46" s="64">
        <f t="shared" si="1"/>
        <v>37.240068076789157</v>
      </c>
    </row>
    <row r="47" spans="1:16" ht="15">
      <c r="A47" s="3" t="s">
        <v>980</v>
      </c>
      <c r="B47" s="3" t="s">
        <v>981</v>
      </c>
      <c r="C47" s="61" t="s">
        <v>3321</v>
      </c>
      <c r="D47" s="3" t="s">
        <v>3248</v>
      </c>
      <c r="E47" s="3">
        <v>1</v>
      </c>
      <c r="F47" s="3" t="s">
        <v>3224</v>
      </c>
      <c r="G47" s="9">
        <v>1478.941562</v>
      </c>
      <c r="H47" s="66">
        <v>43628.776079000003</v>
      </c>
      <c r="I47" s="9">
        <v>1803.6580143738199</v>
      </c>
      <c r="J47" s="10">
        <v>1.2195600290891142</v>
      </c>
      <c r="K47" s="66">
        <v>17149.993251492815</v>
      </c>
      <c r="L47" s="69">
        <v>60778.769330492818</v>
      </c>
      <c r="M47" s="64">
        <v>1743459.102681967</v>
      </c>
      <c r="N47" s="67">
        <v>34946.420224201356</v>
      </c>
      <c r="O47" s="64">
        <f t="shared" si="0"/>
        <v>95725.189554694167</v>
      </c>
      <c r="P47" s="64">
        <f t="shared" si="1"/>
        <v>64.725471252050838</v>
      </c>
    </row>
    <row r="48" spans="1:16" ht="15">
      <c r="A48" s="3" t="s">
        <v>553</v>
      </c>
      <c r="B48" s="3" t="s">
        <v>554</v>
      </c>
      <c r="C48" s="61" t="s">
        <v>3321</v>
      </c>
      <c r="D48" s="3" t="s">
        <v>3248</v>
      </c>
      <c r="E48" s="3">
        <v>1</v>
      </c>
      <c r="F48" s="3" t="s">
        <v>1906</v>
      </c>
      <c r="G48" s="9">
        <v>2565.5351000000001</v>
      </c>
      <c r="H48" s="66">
        <v>75683.285449999996</v>
      </c>
      <c r="I48" s="9">
        <v>3258.5108769390999</v>
      </c>
      <c r="J48" s="10">
        <v>1.2701096457183922</v>
      </c>
      <c r="K48" s="66">
        <v>36599.715878491581</v>
      </c>
      <c r="L48" s="69">
        <v>112283.00132849158</v>
      </c>
      <c r="M48" s="64">
        <v>1748653.1735920876</v>
      </c>
      <c r="N48" s="67">
        <v>35050.531748480964</v>
      </c>
      <c r="O48" s="64">
        <f t="shared" si="0"/>
        <v>147333.53307697253</v>
      </c>
      <c r="P48" s="64">
        <f t="shared" si="1"/>
        <v>57.427993511752199</v>
      </c>
    </row>
    <row r="49" spans="1:16" ht="15">
      <c r="A49" s="19">
        <v>65839</v>
      </c>
      <c r="B49" s="20" t="s">
        <v>1956</v>
      </c>
      <c r="C49" s="61" t="s">
        <v>3321</v>
      </c>
      <c r="D49" s="19" t="s">
        <v>1973</v>
      </c>
      <c r="E49" s="19">
        <v>1</v>
      </c>
      <c r="F49" s="19" t="s">
        <v>1974</v>
      </c>
      <c r="G49" s="9">
        <v>34.22</v>
      </c>
      <c r="H49" s="66">
        <v>1009.49</v>
      </c>
      <c r="I49" s="9">
        <v>163.53718400000002</v>
      </c>
      <c r="J49" s="10">
        <v>4.7789942723553489</v>
      </c>
      <c r="K49" s="66">
        <v>6829.9244361936198</v>
      </c>
      <c r="L49" s="69">
        <v>7839.4144361936196</v>
      </c>
      <c r="M49" s="64">
        <v>0</v>
      </c>
      <c r="N49" s="67">
        <v>0</v>
      </c>
      <c r="O49" s="64">
        <f t="shared" si="0"/>
        <v>7839.4144361936196</v>
      </c>
      <c r="P49" s="64">
        <f t="shared" si="1"/>
        <v>229.08867434814786</v>
      </c>
    </row>
    <row r="50" spans="1:16" ht="15">
      <c r="A50" s="3" t="s">
        <v>982</v>
      </c>
      <c r="B50" s="3" t="s">
        <v>983</v>
      </c>
      <c r="C50" s="61" t="s">
        <v>3321</v>
      </c>
      <c r="D50" s="3" t="s">
        <v>3248</v>
      </c>
      <c r="E50" s="3">
        <v>1</v>
      </c>
      <c r="F50" s="3" t="s">
        <v>3223</v>
      </c>
      <c r="G50" s="9">
        <v>1005.110549</v>
      </c>
      <c r="H50" s="66">
        <v>29650.761195499999</v>
      </c>
      <c r="I50" s="9">
        <v>1435.4434895222901</v>
      </c>
      <c r="J50" s="10">
        <v>1.4281448851078471</v>
      </c>
      <c r="K50" s="66">
        <v>22728.15858851554</v>
      </c>
      <c r="L50" s="69">
        <v>52378.919784015539</v>
      </c>
      <c r="M50" s="64">
        <v>2821402.0687283375</v>
      </c>
      <c r="N50" s="67">
        <v>56553.034231510297</v>
      </c>
      <c r="O50" s="64">
        <f t="shared" si="0"/>
        <v>108931.95401552584</v>
      </c>
      <c r="P50" s="64">
        <f t="shared" si="1"/>
        <v>108.37808251431042</v>
      </c>
    </row>
    <row r="51" spans="1:16" ht="15">
      <c r="A51" s="3" t="str">
        <f>"017169"</f>
        <v>017169</v>
      </c>
      <c r="B51" s="3" t="s">
        <v>3168</v>
      </c>
      <c r="C51" s="61" t="s">
        <v>3321</v>
      </c>
      <c r="D51" s="3" t="s">
        <v>3249</v>
      </c>
      <c r="E51" s="3">
        <v>1</v>
      </c>
      <c r="F51" s="3" t="s">
        <v>3220</v>
      </c>
      <c r="G51" s="9">
        <v>32</v>
      </c>
      <c r="H51" s="66">
        <v>944</v>
      </c>
      <c r="I51" s="9">
        <v>32</v>
      </c>
      <c r="J51" s="10">
        <v>1</v>
      </c>
      <c r="K51" s="66">
        <v>0</v>
      </c>
      <c r="L51" s="69">
        <v>944</v>
      </c>
      <c r="M51" s="64">
        <v>0</v>
      </c>
      <c r="N51" s="67">
        <v>0</v>
      </c>
      <c r="O51" s="64">
        <f t="shared" si="0"/>
        <v>944</v>
      </c>
      <c r="P51" s="64">
        <f t="shared" si="1"/>
        <v>29.5</v>
      </c>
    </row>
    <row r="52" spans="1:16" ht="15">
      <c r="A52" s="3" t="s">
        <v>718</v>
      </c>
      <c r="B52" s="3" t="s">
        <v>719</v>
      </c>
      <c r="C52" s="61" t="s">
        <v>3321</v>
      </c>
      <c r="D52" s="3" t="s">
        <v>3248</v>
      </c>
      <c r="E52" s="3">
        <v>1</v>
      </c>
      <c r="F52" s="3" t="s">
        <v>3223</v>
      </c>
      <c r="G52" s="9">
        <v>1197.158396</v>
      </c>
      <c r="H52" s="66">
        <v>35316.172682000004</v>
      </c>
      <c r="I52" s="9">
        <v>1713.6920814891901</v>
      </c>
      <c r="J52" s="10">
        <v>1.4314664519039886</v>
      </c>
      <c r="K52" s="66">
        <v>27280.875839670065</v>
      </c>
      <c r="L52" s="69">
        <v>62597.048521670069</v>
      </c>
      <c r="M52" s="64">
        <v>897461.69210396556</v>
      </c>
      <c r="N52" s="67">
        <v>17988.99290447485</v>
      </c>
      <c r="O52" s="64">
        <f t="shared" si="0"/>
        <v>80586.041426144919</v>
      </c>
      <c r="P52" s="64">
        <f t="shared" si="1"/>
        <v>67.314435329028015</v>
      </c>
    </row>
    <row r="53" spans="1:16" ht="15">
      <c r="A53" s="3" t="s">
        <v>513</v>
      </c>
      <c r="B53" s="3" t="s">
        <v>514</v>
      </c>
      <c r="C53" s="61" t="s">
        <v>3321</v>
      </c>
      <c r="D53" s="3" t="s">
        <v>456</v>
      </c>
      <c r="E53" s="3">
        <v>1</v>
      </c>
      <c r="F53" s="3" t="s">
        <v>1897</v>
      </c>
      <c r="G53" s="9">
        <v>459.47018800000001</v>
      </c>
      <c r="H53" s="66">
        <v>13554.370546</v>
      </c>
      <c r="I53" s="9">
        <v>630.07051634191896</v>
      </c>
      <c r="J53" s="10">
        <v>1.371297927041828</v>
      </c>
      <c r="K53" s="66">
        <v>9010.3056324295394</v>
      </c>
      <c r="L53" s="69">
        <v>22564.676178429538</v>
      </c>
      <c r="M53" s="64">
        <v>0</v>
      </c>
      <c r="N53" s="67">
        <v>0</v>
      </c>
      <c r="O53" s="64">
        <f t="shared" si="0"/>
        <v>22564.676178429538</v>
      </c>
      <c r="P53" s="64">
        <f t="shared" si="1"/>
        <v>49.11020729473212</v>
      </c>
    </row>
    <row r="54" spans="1:16" ht="15">
      <c r="A54" s="3" t="s">
        <v>984</v>
      </c>
      <c r="B54" s="3" t="s">
        <v>985</v>
      </c>
      <c r="C54" s="61" t="s">
        <v>3321</v>
      </c>
      <c r="D54" s="3" t="s">
        <v>3248</v>
      </c>
      <c r="E54" s="3">
        <v>1</v>
      </c>
      <c r="F54" s="3" t="s">
        <v>3223</v>
      </c>
      <c r="G54" s="9">
        <v>780.10659199999998</v>
      </c>
      <c r="H54" s="66">
        <v>23013.144464000001</v>
      </c>
      <c r="I54" s="9">
        <v>1117.4898371977099</v>
      </c>
      <c r="J54" s="10">
        <v>1.4324835204029527</v>
      </c>
      <c r="K54" s="66">
        <v>17818.993574265754</v>
      </c>
      <c r="L54" s="69">
        <v>40832.138038265752</v>
      </c>
      <c r="M54" s="64">
        <v>612933.74981149775</v>
      </c>
      <c r="N54" s="67">
        <v>12285.828992236129</v>
      </c>
      <c r="O54" s="64">
        <f t="shared" si="0"/>
        <v>53117.967030501881</v>
      </c>
      <c r="P54" s="64">
        <f t="shared" si="1"/>
        <v>68.090652707241688</v>
      </c>
    </row>
    <row r="55" spans="1:16" ht="15">
      <c r="A55" s="3" t="str">
        <f>"054387"</f>
        <v>054387</v>
      </c>
      <c r="B55" s="3" t="s">
        <v>2825</v>
      </c>
      <c r="C55" s="61" t="s">
        <v>3314</v>
      </c>
      <c r="D55" s="3" t="s">
        <v>3249</v>
      </c>
      <c r="E55" s="3">
        <v>1</v>
      </c>
      <c r="F55" s="3" t="s">
        <v>3220</v>
      </c>
      <c r="G55" s="9">
        <v>155</v>
      </c>
      <c r="H55" s="66">
        <v>4572.5</v>
      </c>
      <c r="I55" s="9">
        <v>167.69839999999999</v>
      </c>
      <c r="J55" s="10">
        <v>1.0819251612903225</v>
      </c>
      <c r="K55" s="66">
        <v>670.66966491136236</v>
      </c>
      <c r="L55" s="69">
        <v>5243.1696649113619</v>
      </c>
      <c r="M55" s="64">
        <v>0</v>
      </c>
      <c r="N55" s="67">
        <v>0</v>
      </c>
      <c r="O55" s="64">
        <f t="shared" si="0"/>
        <v>5243.1696649113619</v>
      </c>
      <c r="P55" s="64">
        <f t="shared" si="1"/>
        <v>33.82690106394427</v>
      </c>
    </row>
    <row r="56" spans="1:16" ht="15">
      <c r="A56" s="3" t="s">
        <v>986</v>
      </c>
      <c r="B56" s="3" t="s">
        <v>987</v>
      </c>
      <c r="C56" s="61" t="s">
        <v>3314</v>
      </c>
      <c r="D56" s="3" t="s">
        <v>3248</v>
      </c>
      <c r="E56" s="3">
        <v>1</v>
      </c>
      <c r="F56" s="3" t="s">
        <v>1904</v>
      </c>
      <c r="G56" s="9">
        <v>832.66915700000004</v>
      </c>
      <c r="H56" s="66">
        <v>24563.740131500002</v>
      </c>
      <c r="I56" s="9">
        <v>925.51189397165399</v>
      </c>
      <c r="J56" s="10">
        <v>1.1115001512799567</v>
      </c>
      <c r="K56" s="66">
        <v>4903.5159779368223</v>
      </c>
      <c r="L56" s="69">
        <v>29467.256109436825</v>
      </c>
      <c r="M56" s="64">
        <v>281183.06087664177</v>
      </c>
      <c r="N56" s="67">
        <v>5636.1181000497409</v>
      </c>
      <c r="O56" s="64">
        <f t="shared" si="0"/>
        <v>35103.374209486567</v>
      </c>
      <c r="P56" s="64">
        <f t="shared" si="1"/>
        <v>42.157649186814503</v>
      </c>
    </row>
    <row r="57" spans="1:16" ht="15">
      <c r="A57" s="3" t="s">
        <v>988</v>
      </c>
      <c r="B57" s="3" t="s">
        <v>989</v>
      </c>
      <c r="C57" s="61" t="s">
        <v>3314</v>
      </c>
      <c r="D57" s="3" t="s">
        <v>3248</v>
      </c>
      <c r="E57" s="3">
        <v>1</v>
      </c>
      <c r="F57" s="3" t="s">
        <v>1904</v>
      </c>
      <c r="G57" s="9">
        <v>739.03643</v>
      </c>
      <c r="H57" s="66">
        <v>21801.574685</v>
      </c>
      <c r="I57" s="9">
        <v>832.71337478688997</v>
      </c>
      <c r="J57" s="10">
        <v>1.1267555170276111</v>
      </c>
      <c r="K57" s="66">
        <v>4947.5749047237241</v>
      </c>
      <c r="L57" s="69">
        <v>26749.149589723726</v>
      </c>
      <c r="M57" s="64">
        <v>265824.97365280817</v>
      </c>
      <c r="N57" s="67">
        <v>5328.2759664783807</v>
      </c>
      <c r="O57" s="64">
        <f t="shared" si="0"/>
        <v>32077.425556202106</v>
      </c>
      <c r="P57" s="64">
        <f t="shared" si="1"/>
        <v>43.404390168157349</v>
      </c>
    </row>
    <row r="58" spans="1:16" ht="15">
      <c r="A58" s="3" t="s">
        <v>990</v>
      </c>
      <c r="B58" s="3" t="s">
        <v>991</v>
      </c>
      <c r="C58" s="61" t="s">
        <v>3314</v>
      </c>
      <c r="D58" s="3" t="s">
        <v>3248</v>
      </c>
      <c r="E58" s="3">
        <v>1</v>
      </c>
      <c r="F58" s="3" t="s">
        <v>3224</v>
      </c>
      <c r="G58" s="9">
        <v>384.81145700000002</v>
      </c>
      <c r="H58" s="66">
        <v>11351.937981500001</v>
      </c>
      <c r="I58" s="9">
        <v>426.84191559066301</v>
      </c>
      <c r="J58" s="10">
        <v>1.1092235114784095</v>
      </c>
      <c r="K58" s="66">
        <v>2219.850814202644</v>
      </c>
      <c r="L58" s="69">
        <v>13571.788795702645</v>
      </c>
      <c r="M58" s="64">
        <v>165228.97146332459</v>
      </c>
      <c r="N58" s="67">
        <v>3311.8993505999138</v>
      </c>
      <c r="O58" s="64">
        <f t="shared" si="0"/>
        <v>16883.68814630256</v>
      </c>
      <c r="P58" s="64">
        <f t="shared" si="1"/>
        <v>43.875222109882657</v>
      </c>
    </row>
    <row r="59" spans="1:16" ht="15">
      <c r="A59" s="3" t="s">
        <v>771</v>
      </c>
      <c r="B59" s="3" t="s">
        <v>772</v>
      </c>
      <c r="C59" s="61" t="s">
        <v>3314</v>
      </c>
      <c r="D59" s="3" t="s">
        <v>3248</v>
      </c>
      <c r="E59" s="3">
        <v>1</v>
      </c>
      <c r="F59" s="3" t="s">
        <v>1905</v>
      </c>
      <c r="G59" s="9">
        <v>2005.0027950000001</v>
      </c>
      <c r="H59" s="66">
        <v>59147.582452500006</v>
      </c>
      <c r="I59" s="9">
        <v>2456.0698176010101</v>
      </c>
      <c r="J59" s="10">
        <v>1.2249707699789067</v>
      </c>
      <c r="K59" s="66">
        <v>23823.235124140479</v>
      </c>
      <c r="L59" s="69">
        <v>82970.817576640489</v>
      </c>
      <c r="M59" s="64">
        <v>1530793.577965959</v>
      </c>
      <c r="N59" s="67">
        <v>30683.688289455429</v>
      </c>
      <c r="O59" s="64">
        <f t="shared" si="0"/>
        <v>113654.50586609592</v>
      </c>
      <c r="P59" s="64">
        <f t="shared" si="1"/>
        <v>56.68546006495513</v>
      </c>
    </row>
    <row r="60" spans="1:16" ht="15">
      <c r="A60" s="3" t="s">
        <v>819</v>
      </c>
      <c r="B60" s="3" t="s">
        <v>820</v>
      </c>
      <c r="C60" s="61" t="s">
        <v>3314</v>
      </c>
      <c r="D60" s="3" t="s">
        <v>3248</v>
      </c>
      <c r="E60" s="3">
        <v>1</v>
      </c>
      <c r="F60" s="3" t="s">
        <v>3223</v>
      </c>
      <c r="G60" s="9">
        <v>3037.4762909999999</v>
      </c>
      <c r="H60" s="66">
        <v>89605.550584500001</v>
      </c>
      <c r="I60" s="9">
        <v>3628.3353610079098</v>
      </c>
      <c r="J60" s="10">
        <v>1.1945230228655996</v>
      </c>
      <c r="K60" s="66">
        <v>31206.392497640991</v>
      </c>
      <c r="L60" s="69">
        <v>120811.94308214099</v>
      </c>
      <c r="M60" s="64">
        <v>1851799.660080276</v>
      </c>
      <c r="N60" s="67">
        <v>37118.0310410776</v>
      </c>
      <c r="O60" s="64">
        <f t="shared" si="0"/>
        <v>157929.97412321859</v>
      </c>
      <c r="P60" s="64">
        <f t="shared" si="1"/>
        <v>51.993812952931656</v>
      </c>
    </row>
    <row r="61" spans="1:16" ht="15">
      <c r="A61" s="3" t="s">
        <v>992</v>
      </c>
      <c r="B61" s="3" t="s">
        <v>993</v>
      </c>
      <c r="C61" s="61" t="s">
        <v>3314</v>
      </c>
      <c r="D61" s="3" t="s">
        <v>3248</v>
      </c>
      <c r="E61" s="3">
        <v>1</v>
      </c>
      <c r="F61" s="3" t="s">
        <v>3224</v>
      </c>
      <c r="G61" s="9">
        <v>488.68399499999998</v>
      </c>
      <c r="H61" s="66">
        <v>14416.177852499999</v>
      </c>
      <c r="I61" s="9">
        <v>569.61201442816798</v>
      </c>
      <c r="J61" s="10">
        <v>1.1656039900143813</v>
      </c>
      <c r="K61" s="66">
        <v>4274.2367283933163</v>
      </c>
      <c r="L61" s="69">
        <v>18690.414580893317</v>
      </c>
      <c r="M61" s="64">
        <v>408760.26252444572</v>
      </c>
      <c r="N61" s="67">
        <v>8193.3140176101333</v>
      </c>
      <c r="O61" s="64">
        <f t="shared" si="0"/>
        <v>26883.72859850345</v>
      </c>
      <c r="P61" s="64">
        <f t="shared" si="1"/>
        <v>55.012500662116942</v>
      </c>
    </row>
    <row r="62" spans="1:16" ht="15">
      <c r="A62" s="3" t="s">
        <v>861</v>
      </c>
      <c r="B62" s="3" t="s">
        <v>862</v>
      </c>
      <c r="C62" s="61" t="s">
        <v>3353</v>
      </c>
      <c r="D62" s="3" t="s">
        <v>3248</v>
      </c>
      <c r="E62" s="3">
        <v>1</v>
      </c>
      <c r="F62" s="3" t="s">
        <v>3223</v>
      </c>
      <c r="G62" s="9">
        <v>1371.8917819999999</v>
      </c>
      <c r="H62" s="66">
        <v>40470.807568999997</v>
      </c>
      <c r="I62" s="9">
        <v>1545.84510602451</v>
      </c>
      <c r="J62" s="10">
        <v>1.1267981383858965</v>
      </c>
      <c r="K62" s="66">
        <v>9187.3950681767674</v>
      </c>
      <c r="L62" s="69">
        <v>49658.202637176764</v>
      </c>
      <c r="M62" s="64">
        <v>802060.61961646029</v>
      </c>
      <c r="N62" s="67">
        <v>16076.745026759067</v>
      </c>
      <c r="O62" s="64">
        <f t="shared" si="0"/>
        <v>65734.947663935833</v>
      </c>
      <c r="P62" s="64">
        <f t="shared" si="1"/>
        <v>47.915548825654994</v>
      </c>
    </row>
    <row r="63" spans="1:16" ht="15">
      <c r="A63" s="3" t="s">
        <v>563</v>
      </c>
      <c r="B63" s="3" t="s">
        <v>564</v>
      </c>
      <c r="C63" s="61" t="s">
        <v>3353</v>
      </c>
      <c r="D63" s="3" t="s">
        <v>3248</v>
      </c>
      <c r="E63" s="3">
        <v>1</v>
      </c>
      <c r="F63" s="3" t="s">
        <v>1905</v>
      </c>
      <c r="G63" s="9">
        <v>1180.9728950000001</v>
      </c>
      <c r="H63" s="66">
        <v>34838.700402500006</v>
      </c>
      <c r="I63" s="9">
        <v>1572.54030935223</v>
      </c>
      <c r="J63" s="10">
        <v>1.3315634219972761</v>
      </c>
      <c r="K63" s="66">
        <v>20680.74612343435</v>
      </c>
      <c r="L63" s="69">
        <v>55519.446525934356</v>
      </c>
      <c r="M63" s="64">
        <v>1287022.8126672134</v>
      </c>
      <c r="N63" s="67">
        <v>25797.473528581228</v>
      </c>
      <c r="O63" s="64">
        <f t="shared" si="0"/>
        <v>81316.920054515591</v>
      </c>
      <c r="P63" s="64">
        <f t="shared" si="1"/>
        <v>68.855873321729021</v>
      </c>
    </row>
    <row r="64" spans="1:16" ht="15">
      <c r="A64" s="19">
        <v>65854</v>
      </c>
      <c r="B64" s="20" t="s">
        <v>1955</v>
      </c>
      <c r="C64" s="61" t="s">
        <v>3353</v>
      </c>
      <c r="D64" s="19" t="s">
        <v>1973</v>
      </c>
      <c r="E64" s="19">
        <v>1</v>
      </c>
      <c r="F64" s="19" t="s">
        <v>1974</v>
      </c>
      <c r="G64" s="9">
        <v>6.47</v>
      </c>
      <c r="H64" s="66">
        <v>190.86499999999998</v>
      </c>
      <c r="I64" s="9">
        <v>27.188233999999998</v>
      </c>
      <c r="J64" s="10">
        <v>4.2021999999999995</v>
      </c>
      <c r="K64" s="66">
        <v>1094.2395147684122</v>
      </c>
      <c r="L64" s="69">
        <v>1285.1045147684122</v>
      </c>
      <c r="M64" s="64">
        <v>0</v>
      </c>
      <c r="N64" s="67">
        <v>0</v>
      </c>
      <c r="O64" s="64">
        <f t="shared" si="0"/>
        <v>1285.1045147684122</v>
      </c>
      <c r="P64" s="64">
        <f t="shared" si="1"/>
        <v>198.62511820222755</v>
      </c>
    </row>
    <row r="65" spans="1:16" ht="15">
      <c r="A65" s="3" t="s">
        <v>460</v>
      </c>
      <c r="B65" s="3" t="s">
        <v>461</v>
      </c>
      <c r="C65" s="61" t="s">
        <v>3353</v>
      </c>
      <c r="D65" s="3" t="s">
        <v>456</v>
      </c>
      <c r="E65" s="3">
        <v>1</v>
      </c>
      <c r="F65" s="3" t="s">
        <v>1897</v>
      </c>
      <c r="G65" s="9">
        <v>492.86112500000002</v>
      </c>
      <c r="H65" s="66">
        <v>14539.4031875</v>
      </c>
      <c r="I65" s="9">
        <v>672.86564850513105</v>
      </c>
      <c r="J65" s="10">
        <v>1.3652236185297248</v>
      </c>
      <c r="K65" s="66">
        <v>9506.9909171010331</v>
      </c>
      <c r="L65" s="69">
        <v>24046.394104601033</v>
      </c>
      <c r="M65" s="64">
        <v>0</v>
      </c>
      <c r="N65" s="67">
        <v>0</v>
      </c>
      <c r="O65" s="64">
        <f t="shared" si="0"/>
        <v>24046.394104601033</v>
      </c>
      <c r="P65" s="64">
        <f t="shared" si="1"/>
        <v>48.7893909356333</v>
      </c>
    </row>
    <row r="66" spans="1:16" ht="15">
      <c r="A66" s="3" t="s">
        <v>867</v>
      </c>
      <c r="B66" s="3" t="s">
        <v>868</v>
      </c>
      <c r="C66" s="61" t="s">
        <v>3353</v>
      </c>
      <c r="D66" s="3" t="s">
        <v>3248</v>
      </c>
      <c r="E66" s="3">
        <v>1</v>
      </c>
      <c r="F66" s="3" t="s">
        <v>1905</v>
      </c>
      <c r="G66" s="9">
        <v>772.09949099999994</v>
      </c>
      <c r="H66" s="66">
        <v>22776.9349845</v>
      </c>
      <c r="I66" s="9">
        <v>942.85070562667102</v>
      </c>
      <c r="J66" s="10">
        <v>1.2211518290285612</v>
      </c>
      <c r="K66" s="66">
        <v>9018.2747351538528</v>
      </c>
      <c r="L66" s="69">
        <v>31795.209719653853</v>
      </c>
      <c r="M66" s="64">
        <v>427350.36362176179</v>
      </c>
      <c r="N66" s="67">
        <v>8565.9396123016431</v>
      </c>
      <c r="O66" s="64">
        <f t="shared" si="0"/>
        <v>40361.149331955494</v>
      </c>
      <c r="P66" s="64">
        <f t="shared" si="1"/>
        <v>52.274544669989297</v>
      </c>
    </row>
    <row r="67" spans="1:16" ht="15">
      <c r="A67" s="3" t="str">
        <f>"112110"</f>
        <v>112110</v>
      </c>
      <c r="B67" s="3" t="s">
        <v>3082</v>
      </c>
      <c r="C67" s="61" t="s">
        <v>3353</v>
      </c>
      <c r="D67" s="3" t="s">
        <v>3249</v>
      </c>
      <c r="E67" s="3">
        <v>1</v>
      </c>
      <c r="F67" s="3" t="s">
        <v>3220</v>
      </c>
      <c r="G67" s="9">
        <v>148</v>
      </c>
      <c r="H67" s="66">
        <v>4366</v>
      </c>
      <c r="I67" s="9">
        <v>148</v>
      </c>
      <c r="J67" s="10">
        <v>1</v>
      </c>
      <c r="K67" s="66">
        <v>0</v>
      </c>
      <c r="L67" s="69">
        <v>4366</v>
      </c>
      <c r="M67" s="64">
        <v>0</v>
      </c>
      <c r="N67" s="67">
        <v>0</v>
      </c>
      <c r="O67" s="64">
        <f t="shared" ref="O67:O130" si="2">(N67+L67)</f>
        <v>4366</v>
      </c>
      <c r="P67" s="64">
        <f t="shared" ref="P67:P130" si="3">O67/G67</f>
        <v>29.5</v>
      </c>
    </row>
    <row r="68" spans="1:16" ht="15">
      <c r="A68" s="3" t="str">
        <f>"110692"</f>
        <v>110692</v>
      </c>
      <c r="B68" s="3" t="s">
        <v>3085</v>
      </c>
      <c r="C68" s="61" t="s">
        <v>3353</v>
      </c>
      <c r="D68" s="3" t="s">
        <v>3249</v>
      </c>
      <c r="E68" s="3">
        <v>1</v>
      </c>
      <c r="F68" s="3" t="s">
        <v>3220</v>
      </c>
      <c r="G68" s="9">
        <v>61</v>
      </c>
      <c r="H68" s="66">
        <v>1799.5</v>
      </c>
      <c r="I68" s="9">
        <v>61</v>
      </c>
      <c r="J68" s="10">
        <v>1</v>
      </c>
      <c r="K68" s="66">
        <v>0</v>
      </c>
      <c r="L68" s="69">
        <v>1799.5</v>
      </c>
      <c r="M68" s="64">
        <v>0</v>
      </c>
      <c r="N68" s="67">
        <v>0</v>
      </c>
      <c r="O68" s="64">
        <f t="shared" si="2"/>
        <v>1799.5</v>
      </c>
      <c r="P68" s="64">
        <f t="shared" si="3"/>
        <v>29.5</v>
      </c>
    </row>
    <row r="69" spans="1:16" ht="15">
      <c r="A69" s="3" t="s">
        <v>699</v>
      </c>
      <c r="B69" s="3" t="s">
        <v>700</v>
      </c>
      <c r="C69" s="61" t="s">
        <v>3353</v>
      </c>
      <c r="D69" s="3" t="s">
        <v>3248</v>
      </c>
      <c r="E69" s="3">
        <v>1</v>
      </c>
      <c r="F69" s="3" t="s">
        <v>1905</v>
      </c>
      <c r="G69" s="9">
        <v>1466.0552359999999</v>
      </c>
      <c r="H69" s="66">
        <v>43248.629461999997</v>
      </c>
      <c r="I69" s="9">
        <v>1874.17354788998</v>
      </c>
      <c r="J69" s="10">
        <v>1.2783785370894307</v>
      </c>
      <c r="K69" s="66">
        <v>21554.886558892773</v>
      </c>
      <c r="L69" s="69">
        <v>64803.51602089277</v>
      </c>
      <c r="M69" s="64">
        <v>1222617.3517292624</v>
      </c>
      <c r="N69" s="67">
        <v>24506.511039579502</v>
      </c>
      <c r="O69" s="64">
        <f t="shared" si="2"/>
        <v>89310.027060472275</v>
      </c>
      <c r="P69" s="64">
        <f t="shared" si="3"/>
        <v>60.918596289827839</v>
      </c>
    </row>
    <row r="70" spans="1:16" ht="15">
      <c r="A70" s="3" t="str">
        <f>"052985"</f>
        <v>052985</v>
      </c>
      <c r="B70" s="3" t="s">
        <v>3144</v>
      </c>
      <c r="C70" s="61" t="s">
        <v>3353</v>
      </c>
      <c r="D70" s="3" t="s">
        <v>3249</v>
      </c>
      <c r="E70" s="3">
        <v>1</v>
      </c>
      <c r="F70" s="3" t="s">
        <v>3220</v>
      </c>
      <c r="G70" s="9">
        <v>9</v>
      </c>
      <c r="H70" s="66">
        <v>265.5</v>
      </c>
      <c r="I70" s="9">
        <v>9</v>
      </c>
      <c r="J70" s="10">
        <v>1</v>
      </c>
      <c r="K70" s="66">
        <v>0</v>
      </c>
      <c r="L70" s="69">
        <v>265.5</v>
      </c>
      <c r="M70" s="64">
        <v>0</v>
      </c>
      <c r="N70" s="67">
        <v>0</v>
      </c>
      <c r="O70" s="64">
        <f t="shared" si="2"/>
        <v>265.5</v>
      </c>
      <c r="P70" s="64">
        <f t="shared" si="3"/>
        <v>29.5</v>
      </c>
    </row>
    <row r="71" spans="1:16" ht="15">
      <c r="A71" s="3" t="s">
        <v>996</v>
      </c>
      <c r="B71" s="3" t="s">
        <v>997</v>
      </c>
      <c r="C71" s="61" t="s">
        <v>3353</v>
      </c>
      <c r="D71" s="3" t="s">
        <v>3248</v>
      </c>
      <c r="E71" s="3">
        <v>1</v>
      </c>
      <c r="F71" s="3" t="s">
        <v>1904</v>
      </c>
      <c r="G71" s="9">
        <v>798.099108</v>
      </c>
      <c r="H71" s="66">
        <v>23543.923685999998</v>
      </c>
      <c r="I71" s="9">
        <v>934.66446897578305</v>
      </c>
      <c r="J71" s="10">
        <v>1.1711132860654483</v>
      </c>
      <c r="K71" s="66">
        <v>7212.7389973640556</v>
      </c>
      <c r="L71" s="69">
        <v>30756.662683364055</v>
      </c>
      <c r="M71" s="64">
        <v>411737.3392836143</v>
      </c>
      <c r="N71" s="67">
        <v>8252.9874423010642</v>
      </c>
      <c r="O71" s="64">
        <f t="shared" si="2"/>
        <v>39009.650125665117</v>
      </c>
      <c r="P71" s="64">
        <f t="shared" si="3"/>
        <v>48.87820288813694</v>
      </c>
    </row>
    <row r="72" spans="1:16" ht="15">
      <c r="A72" s="3" t="str">
        <f>"017838"</f>
        <v>017838</v>
      </c>
      <c r="B72" s="3" t="s">
        <v>3161</v>
      </c>
      <c r="C72" s="61" t="s">
        <v>3353</v>
      </c>
      <c r="D72" s="3" t="s">
        <v>3249</v>
      </c>
      <c r="E72" s="3">
        <v>1</v>
      </c>
      <c r="F72" s="3" t="s">
        <v>3220</v>
      </c>
      <c r="G72" s="9">
        <v>91</v>
      </c>
      <c r="H72" s="66">
        <v>2684.5</v>
      </c>
      <c r="I72" s="9">
        <v>91</v>
      </c>
      <c r="J72" s="10">
        <v>1</v>
      </c>
      <c r="K72" s="66">
        <v>0</v>
      </c>
      <c r="L72" s="69">
        <v>2684.5</v>
      </c>
      <c r="M72" s="64">
        <v>0</v>
      </c>
      <c r="N72" s="67">
        <v>0</v>
      </c>
      <c r="O72" s="64">
        <f t="shared" si="2"/>
        <v>2684.5</v>
      </c>
      <c r="P72" s="64">
        <f t="shared" si="3"/>
        <v>29.5</v>
      </c>
    </row>
    <row r="73" spans="1:16" ht="15">
      <c r="A73" s="3" t="s">
        <v>994</v>
      </c>
      <c r="B73" s="3" t="s">
        <v>995</v>
      </c>
      <c r="C73" s="61" t="s">
        <v>3353</v>
      </c>
      <c r="D73" s="3" t="s">
        <v>3248</v>
      </c>
      <c r="E73" s="3">
        <v>1</v>
      </c>
      <c r="F73" s="3" t="s">
        <v>1904</v>
      </c>
      <c r="G73" s="9">
        <v>1667.648995</v>
      </c>
      <c r="H73" s="66">
        <v>49195.645352500003</v>
      </c>
      <c r="I73" s="9">
        <v>1994.8799269875601</v>
      </c>
      <c r="J73" s="10">
        <v>1.1962229060004081</v>
      </c>
      <c r="K73" s="66">
        <v>17282.796218793697</v>
      </c>
      <c r="L73" s="69">
        <v>66478.441571293704</v>
      </c>
      <c r="M73" s="64">
        <v>752517.66050726641</v>
      </c>
      <c r="N73" s="67">
        <v>15083.691008160651</v>
      </c>
      <c r="O73" s="64">
        <f t="shared" si="2"/>
        <v>81562.132579454352</v>
      </c>
      <c r="P73" s="64">
        <f t="shared" si="3"/>
        <v>48.908453052169023</v>
      </c>
    </row>
    <row r="74" spans="1:16" ht="15">
      <c r="A74" s="3" t="str">
        <f>"058404"</f>
        <v>058404</v>
      </c>
      <c r="B74" s="3" t="s">
        <v>2689</v>
      </c>
      <c r="C74" s="61" t="s">
        <v>3353</v>
      </c>
      <c r="D74" s="3" t="s">
        <v>3249</v>
      </c>
      <c r="E74" s="3">
        <v>1</v>
      </c>
      <c r="F74" s="3" t="s">
        <v>3220</v>
      </c>
      <c r="G74" s="9">
        <v>124</v>
      </c>
      <c r="H74" s="66">
        <v>3658</v>
      </c>
      <c r="I74" s="9">
        <v>128.68700000000001</v>
      </c>
      <c r="J74" s="10">
        <v>1.0377983870967742</v>
      </c>
      <c r="K74" s="66">
        <v>247.54525920112496</v>
      </c>
      <c r="L74" s="69">
        <v>3905.5452592011252</v>
      </c>
      <c r="M74" s="64">
        <v>0</v>
      </c>
      <c r="N74" s="67">
        <v>0</v>
      </c>
      <c r="O74" s="64">
        <f t="shared" si="2"/>
        <v>3905.5452592011252</v>
      </c>
      <c r="P74" s="64">
        <f t="shared" si="3"/>
        <v>31.496332735492945</v>
      </c>
    </row>
    <row r="75" spans="1:16" ht="15">
      <c r="A75" s="3" t="str">
        <f>"058396"</f>
        <v>058396</v>
      </c>
      <c r="B75" s="3" t="s">
        <v>2732</v>
      </c>
      <c r="C75" s="61" t="s">
        <v>3353</v>
      </c>
      <c r="D75" s="3" t="s">
        <v>3249</v>
      </c>
      <c r="E75" s="3">
        <v>1</v>
      </c>
      <c r="F75" s="3" t="s">
        <v>3220</v>
      </c>
      <c r="G75" s="9">
        <v>89</v>
      </c>
      <c r="H75" s="66">
        <v>2625.5</v>
      </c>
      <c r="I75" s="9">
        <v>98.136600000000001</v>
      </c>
      <c r="J75" s="10">
        <v>1.1026584269662922</v>
      </c>
      <c r="K75" s="66">
        <v>482.5521688109651</v>
      </c>
      <c r="L75" s="69">
        <v>3108.0521688109652</v>
      </c>
      <c r="M75" s="64">
        <v>0</v>
      </c>
      <c r="N75" s="67">
        <v>0</v>
      </c>
      <c r="O75" s="64">
        <f t="shared" si="2"/>
        <v>3108.0521688109652</v>
      </c>
      <c r="P75" s="64">
        <f t="shared" si="3"/>
        <v>34.921934481022078</v>
      </c>
    </row>
    <row r="76" spans="1:16" ht="15">
      <c r="A76" s="3" t="s">
        <v>998</v>
      </c>
      <c r="B76" s="3" t="s">
        <v>999</v>
      </c>
      <c r="C76" s="61" t="s">
        <v>3353</v>
      </c>
      <c r="D76" s="3" t="s">
        <v>3248</v>
      </c>
      <c r="E76" s="3">
        <v>1</v>
      </c>
      <c r="F76" s="3" t="s">
        <v>3223</v>
      </c>
      <c r="G76" s="9">
        <v>1450.30206</v>
      </c>
      <c r="H76" s="66">
        <v>42783.910770000002</v>
      </c>
      <c r="I76" s="9">
        <v>1703.8373024560501</v>
      </c>
      <c r="J76" s="10">
        <v>1.1748154742716495</v>
      </c>
      <c r="K76" s="66">
        <v>13390.537083508181</v>
      </c>
      <c r="L76" s="69">
        <v>56174.447853508187</v>
      </c>
      <c r="M76" s="64">
        <v>1687615.8307060183</v>
      </c>
      <c r="N76" s="67">
        <v>33827.080833811386</v>
      </c>
      <c r="O76" s="64">
        <f t="shared" si="2"/>
        <v>90001.528687319573</v>
      </c>
      <c r="P76" s="64">
        <f t="shared" si="3"/>
        <v>62.057092222098596</v>
      </c>
    </row>
    <row r="77" spans="1:16" ht="15">
      <c r="A77" s="3" t="s">
        <v>1000</v>
      </c>
      <c r="B77" s="3" t="s">
        <v>1001</v>
      </c>
      <c r="C77" s="61" t="s">
        <v>3315</v>
      </c>
      <c r="D77" s="3" t="s">
        <v>3248</v>
      </c>
      <c r="E77" s="3">
        <v>1</v>
      </c>
      <c r="F77" s="3" t="s">
        <v>3224</v>
      </c>
      <c r="G77" s="9">
        <v>1223.4051469999999</v>
      </c>
      <c r="H77" s="66">
        <v>36090.451836499997</v>
      </c>
      <c r="I77" s="9">
        <v>1435.6061746779501</v>
      </c>
      <c r="J77" s="10">
        <v>1.1734511483773822</v>
      </c>
      <c r="K77" s="66">
        <v>11207.458587429728</v>
      </c>
      <c r="L77" s="69">
        <v>47297.910423929723</v>
      </c>
      <c r="M77" s="64">
        <v>1347117.3018369132</v>
      </c>
      <c r="N77" s="67">
        <v>27002.025598917993</v>
      </c>
      <c r="O77" s="64">
        <f t="shared" si="2"/>
        <v>74299.936022847716</v>
      </c>
      <c r="P77" s="64">
        <f t="shared" si="3"/>
        <v>60.732077353968918</v>
      </c>
    </row>
    <row r="78" spans="1:16" ht="15">
      <c r="A78" s="3" t="s">
        <v>1002</v>
      </c>
      <c r="B78" s="3" t="s">
        <v>1003</v>
      </c>
      <c r="C78" s="61" t="s">
        <v>3315</v>
      </c>
      <c r="D78" s="3" t="s">
        <v>3248</v>
      </c>
      <c r="E78" s="3">
        <v>1</v>
      </c>
      <c r="F78" s="3" t="s">
        <v>3224</v>
      </c>
      <c r="G78" s="9">
        <v>786.58131000000003</v>
      </c>
      <c r="H78" s="66">
        <v>23204.148645000001</v>
      </c>
      <c r="I78" s="9">
        <v>949.05574427374495</v>
      </c>
      <c r="J78" s="10">
        <v>1.2065577101924083</v>
      </c>
      <c r="K78" s="66">
        <v>8581.1341894282559</v>
      </c>
      <c r="L78" s="69">
        <v>31785.282834428257</v>
      </c>
      <c r="M78" s="64">
        <v>492894.4322975449</v>
      </c>
      <c r="N78" s="67">
        <v>9879.7246982978104</v>
      </c>
      <c r="O78" s="64">
        <f t="shared" si="2"/>
        <v>41665.007532726071</v>
      </c>
      <c r="P78" s="64">
        <f t="shared" si="3"/>
        <v>52.969740067592085</v>
      </c>
    </row>
    <row r="79" spans="1:16" ht="15">
      <c r="A79" s="3" t="s">
        <v>894</v>
      </c>
      <c r="B79" s="3" t="s">
        <v>895</v>
      </c>
      <c r="C79" s="61" t="s">
        <v>3315</v>
      </c>
      <c r="D79" s="3" t="s">
        <v>3248</v>
      </c>
      <c r="E79" s="3">
        <v>1</v>
      </c>
      <c r="F79" s="3" t="s">
        <v>3223</v>
      </c>
      <c r="G79" s="9">
        <v>1050.709245</v>
      </c>
      <c r="H79" s="66">
        <v>30995.922727500001</v>
      </c>
      <c r="I79" s="9">
        <v>1268.5668564457901</v>
      </c>
      <c r="J79" s="10">
        <v>1.207343384939751</v>
      </c>
      <c r="K79" s="66">
        <v>11506.212693468306</v>
      </c>
      <c r="L79" s="69">
        <v>42502.135420968305</v>
      </c>
      <c r="M79" s="64">
        <v>556778.05740968348</v>
      </c>
      <c r="N79" s="67">
        <v>11160.227352578529</v>
      </c>
      <c r="O79" s="64">
        <f t="shared" si="2"/>
        <v>53662.362773546833</v>
      </c>
      <c r="P79" s="64">
        <f t="shared" si="3"/>
        <v>51.072514141195008</v>
      </c>
    </row>
    <row r="80" spans="1:16" ht="15">
      <c r="A80" s="3" t="s">
        <v>1006</v>
      </c>
      <c r="B80" s="3" t="s">
        <v>1007</v>
      </c>
      <c r="C80" s="61" t="s">
        <v>3315</v>
      </c>
      <c r="D80" s="3" t="s">
        <v>3248</v>
      </c>
      <c r="E80" s="3">
        <v>1</v>
      </c>
      <c r="F80" s="3" t="s">
        <v>3223</v>
      </c>
      <c r="G80" s="9">
        <v>761.33833900000002</v>
      </c>
      <c r="H80" s="66">
        <v>22459.4810005</v>
      </c>
      <c r="I80" s="9">
        <v>998.52678984198496</v>
      </c>
      <c r="J80" s="10">
        <v>1.3115414510105012</v>
      </c>
      <c r="K80" s="66">
        <v>12527.176561380906</v>
      </c>
      <c r="L80" s="69">
        <v>34986.657561880907</v>
      </c>
      <c r="M80" s="64">
        <v>762257.3885871931</v>
      </c>
      <c r="N80" s="67">
        <v>15278.917056094317</v>
      </c>
      <c r="O80" s="64">
        <f t="shared" si="2"/>
        <v>50265.574617975224</v>
      </c>
      <c r="P80" s="64">
        <f t="shared" si="3"/>
        <v>66.02264990884062</v>
      </c>
    </row>
    <row r="81" spans="1:16" ht="15">
      <c r="A81" s="3" t="s">
        <v>457</v>
      </c>
      <c r="B81" s="3" t="s">
        <v>458</v>
      </c>
      <c r="C81" s="61" t="s">
        <v>3315</v>
      </c>
      <c r="D81" s="3" t="s">
        <v>456</v>
      </c>
      <c r="E81" s="3">
        <v>1</v>
      </c>
      <c r="F81" s="3" t="s">
        <v>1897</v>
      </c>
      <c r="G81" s="9">
        <v>496.564706</v>
      </c>
      <c r="H81" s="66">
        <v>14648.658826999999</v>
      </c>
      <c r="I81" s="9">
        <v>598.55468539564799</v>
      </c>
      <c r="J81" s="10">
        <v>1.2053911165318463</v>
      </c>
      <c r="K81" s="66">
        <v>5386.6302294459174</v>
      </c>
      <c r="L81" s="69">
        <v>20035.289056445916</v>
      </c>
      <c r="M81" s="64">
        <v>0</v>
      </c>
      <c r="N81" s="67">
        <v>0</v>
      </c>
      <c r="O81" s="64">
        <f t="shared" si="2"/>
        <v>20035.289056445916</v>
      </c>
      <c r="P81" s="64">
        <f t="shared" si="3"/>
        <v>40.34779116268065</v>
      </c>
    </row>
    <row r="82" spans="1:16" ht="15">
      <c r="A82" s="3" t="str">
        <f>"055400"</f>
        <v>055400</v>
      </c>
      <c r="B82" s="3" t="s">
        <v>2798</v>
      </c>
      <c r="C82" s="61" t="s">
        <v>3315</v>
      </c>
      <c r="D82" s="3" t="s">
        <v>3249</v>
      </c>
      <c r="E82" s="3">
        <v>1</v>
      </c>
      <c r="F82" s="3" t="s">
        <v>3220</v>
      </c>
      <c r="G82" s="9">
        <v>94</v>
      </c>
      <c r="H82" s="66">
        <v>2773</v>
      </c>
      <c r="I82" s="9">
        <v>107.7236</v>
      </c>
      <c r="J82" s="10">
        <v>1.1459957446808511</v>
      </c>
      <c r="K82" s="66">
        <v>724.81589911938374</v>
      </c>
      <c r="L82" s="69">
        <v>3497.8158991193836</v>
      </c>
      <c r="M82" s="64">
        <v>0</v>
      </c>
      <c r="N82" s="67">
        <v>0</v>
      </c>
      <c r="O82" s="64">
        <f t="shared" si="2"/>
        <v>3497.8158991193836</v>
      </c>
      <c r="P82" s="64">
        <f t="shared" si="3"/>
        <v>37.210807437440252</v>
      </c>
    </row>
    <row r="83" spans="1:16" ht="15">
      <c r="A83" s="3" t="s">
        <v>1004</v>
      </c>
      <c r="B83" s="3" t="s">
        <v>1005</v>
      </c>
      <c r="C83" s="61" t="s">
        <v>3315</v>
      </c>
      <c r="D83" s="3" t="s">
        <v>3248</v>
      </c>
      <c r="E83" s="3">
        <v>1</v>
      </c>
      <c r="F83" s="3" t="s">
        <v>3223</v>
      </c>
      <c r="G83" s="9">
        <v>2889.0651640000001</v>
      </c>
      <c r="H83" s="66">
        <v>85227.422338000004</v>
      </c>
      <c r="I83" s="9">
        <v>3497.3771999618898</v>
      </c>
      <c r="J83" s="10">
        <v>1.2105567030961888</v>
      </c>
      <c r="K83" s="66">
        <v>32128.175937134554</v>
      </c>
      <c r="L83" s="69">
        <v>117355.59827513456</v>
      </c>
      <c r="M83" s="64">
        <v>2732561.264060813</v>
      </c>
      <c r="N83" s="67">
        <v>54772.282341092236</v>
      </c>
      <c r="O83" s="64">
        <f t="shared" si="2"/>
        <v>172127.88061622679</v>
      </c>
      <c r="P83" s="64">
        <f t="shared" si="3"/>
        <v>59.579092490219367</v>
      </c>
    </row>
    <row r="84" spans="1:16" ht="15">
      <c r="A84" s="3" t="s">
        <v>462</v>
      </c>
      <c r="B84" s="3" t="s">
        <v>463</v>
      </c>
      <c r="C84" s="61" t="s">
        <v>3280</v>
      </c>
      <c r="D84" s="3" t="s">
        <v>456</v>
      </c>
      <c r="E84" s="3">
        <v>1</v>
      </c>
      <c r="F84" s="3" t="s">
        <v>1897</v>
      </c>
      <c r="G84" s="9">
        <v>3517.3841360000001</v>
      </c>
      <c r="H84" s="66">
        <v>103762.832012</v>
      </c>
      <c r="I84" s="9">
        <v>4200.75733549098</v>
      </c>
      <c r="J84" s="10">
        <v>1.194284494689317</v>
      </c>
      <c r="K84" s="66">
        <v>36092.552976124658</v>
      </c>
      <c r="L84" s="69">
        <v>139855.38498812466</v>
      </c>
      <c r="M84" s="64">
        <v>0</v>
      </c>
      <c r="N84" s="67">
        <v>0</v>
      </c>
      <c r="O84" s="64">
        <f t="shared" si="2"/>
        <v>139855.38498812466</v>
      </c>
      <c r="P84" s="64">
        <f t="shared" si="3"/>
        <v>39.761191721063888</v>
      </c>
    </row>
    <row r="85" spans="1:16" ht="15">
      <c r="A85" s="3" t="str">
        <f>"070409"</f>
        <v>070409</v>
      </c>
      <c r="B85" s="3" t="s">
        <v>2583</v>
      </c>
      <c r="C85" s="61" t="s">
        <v>3280</v>
      </c>
      <c r="D85" s="3" t="s">
        <v>3249</v>
      </c>
      <c r="E85" s="3">
        <v>1</v>
      </c>
      <c r="F85" s="3" t="s">
        <v>3220</v>
      </c>
      <c r="G85" s="9">
        <v>492</v>
      </c>
      <c r="H85" s="66">
        <v>14514</v>
      </c>
      <c r="I85" s="9">
        <v>492</v>
      </c>
      <c r="J85" s="10">
        <v>1</v>
      </c>
      <c r="K85" s="66">
        <v>0</v>
      </c>
      <c r="L85" s="69">
        <v>14514</v>
      </c>
      <c r="M85" s="64">
        <v>0</v>
      </c>
      <c r="N85" s="67">
        <v>0</v>
      </c>
      <c r="O85" s="64">
        <f t="shared" si="2"/>
        <v>14514</v>
      </c>
      <c r="P85" s="64">
        <f t="shared" si="3"/>
        <v>29.5</v>
      </c>
    </row>
    <row r="86" spans="1:16" ht="15">
      <c r="A86" s="3" t="s">
        <v>1008</v>
      </c>
      <c r="B86" s="3" t="s">
        <v>1009</v>
      </c>
      <c r="C86" s="61" t="s">
        <v>3280</v>
      </c>
      <c r="D86" s="3" t="s">
        <v>3248</v>
      </c>
      <c r="E86" s="3">
        <v>1</v>
      </c>
      <c r="F86" s="3" t="s">
        <v>1904</v>
      </c>
      <c r="G86" s="9">
        <v>3539.8648389999998</v>
      </c>
      <c r="H86" s="66">
        <v>104426.0127505</v>
      </c>
      <c r="I86" s="9">
        <v>4391.2341774401102</v>
      </c>
      <c r="J86" s="10">
        <v>1.2405089960103164</v>
      </c>
      <c r="K86" s="66">
        <v>44965.317593353291</v>
      </c>
      <c r="L86" s="69">
        <v>149391.33034385327</v>
      </c>
      <c r="M86" s="64">
        <v>2210624.3308105543</v>
      </c>
      <c r="N86" s="67">
        <v>44310.420992101543</v>
      </c>
      <c r="O86" s="64">
        <f t="shared" si="2"/>
        <v>193701.75133595482</v>
      </c>
      <c r="P86" s="64">
        <f t="shared" si="3"/>
        <v>54.720098124050104</v>
      </c>
    </row>
    <row r="87" spans="1:16" ht="15">
      <c r="A87" s="3" t="s">
        <v>1010</v>
      </c>
      <c r="B87" s="3" t="s">
        <v>1011</v>
      </c>
      <c r="C87" s="61" t="s">
        <v>3280</v>
      </c>
      <c r="D87" s="3" t="s">
        <v>3248</v>
      </c>
      <c r="E87" s="3">
        <v>1</v>
      </c>
      <c r="F87" s="3" t="s">
        <v>1906</v>
      </c>
      <c r="G87" s="9">
        <v>9214.7267100000008</v>
      </c>
      <c r="H87" s="66">
        <v>271834.43794500001</v>
      </c>
      <c r="I87" s="9">
        <v>11426.167286473799</v>
      </c>
      <c r="J87" s="10">
        <v>1.2399898169604857</v>
      </c>
      <c r="K87" s="66">
        <v>116797.87299148503</v>
      </c>
      <c r="L87" s="69">
        <v>388632.31093648507</v>
      </c>
      <c r="M87" s="64">
        <v>6106458.43167591</v>
      </c>
      <c r="N87" s="67">
        <v>122399.69501245655</v>
      </c>
      <c r="O87" s="64">
        <f t="shared" si="2"/>
        <v>511032.00594894163</v>
      </c>
      <c r="P87" s="64">
        <f t="shared" si="3"/>
        <v>55.45818362625554</v>
      </c>
    </row>
    <row r="88" spans="1:16" ht="15">
      <c r="A88" s="3" t="str">
        <f>"096164"</f>
        <v>096164</v>
      </c>
      <c r="B88" s="3" t="s">
        <v>3097</v>
      </c>
      <c r="C88" s="61" t="s">
        <v>3280</v>
      </c>
      <c r="D88" s="3" t="s">
        <v>3249</v>
      </c>
      <c r="E88" s="3">
        <v>1</v>
      </c>
      <c r="F88" s="3" t="s">
        <v>3220</v>
      </c>
      <c r="G88" s="9">
        <v>18</v>
      </c>
      <c r="H88" s="66">
        <v>531</v>
      </c>
      <c r="I88" s="9">
        <v>18</v>
      </c>
      <c r="J88" s="10">
        <v>1</v>
      </c>
      <c r="K88" s="66">
        <v>0</v>
      </c>
      <c r="L88" s="69">
        <v>531</v>
      </c>
      <c r="M88" s="64">
        <v>0</v>
      </c>
      <c r="N88" s="67">
        <v>0</v>
      </c>
      <c r="O88" s="64">
        <f t="shared" si="2"/>
        <v>531</v>
      </c>
      <c r="P88" s="64">
        <f t="shared" si="3"/>
        <v>29.5</v>
      </c>
    </row>
    <row r="89" spans="1:16" ht="15">
      <c r="A89" s="3" t="s">
        <v>654</v>
      </c>
      <c r="B89" s="3" t="s">
        <v>655</v>
      </c>
      <c r="C89" s="61" t="s">
        <v>3280</v>
      </c>
      <c r="D89" s="3" t="s">
        <v>3248</v>
      </c>
      <c r="E89" s="3">
        <v>1</v>
      </c>
      <c r="F89" s="3" t="s">
        <v>1909</v>
      </c>
      <c r="G89" s="9">
        <v>9898.4443289999999</v>
      </c>
      <c r="H89" s="66">
        <v>292004.10770549998</v>
      </c>
      <c r="I89" s="9">
        <v>12716.696965839599</v>
      </c>
      <c r="J89" s="10">
        <v>1.2847167234736891</v>
      </c>
      <c r="K89" s="66">
        <v>148846.82728412861</v>
      </c>
      <c r="L89" s="69">
        <v>440850.93498962861</v>
      </c>
      <c r="M89" s="64">
        <v>4560344.0888193334</v>
      </c>
      <c r="N89" s="67">
        <v>91408.912689536213</v>
      </c>
      <c r="O89" s="64">
        <f t="shared" si="2"/>
        <v>532259.84767916484</v>
      </c>
      <c r="P89" s="64">
        <f t="shared" si="3"/>
        <v>53.772070639400859</v>
      </c>
    </row>
    <row r="90" spans="1:16" ht="15">
      <c r="A90" s="3" t="str">
        <f>"060327"</f>
        <v>060327</v>
      </c>
      <c r="B90" s="3" t="s">
        <v>2730</v>
      </c>
      <c r="C90" s="61" t="s">
        <v>3280</v>
      </c>
      <c r="D90" s="3" t="s">
        <v>3249</v>
      </c>
      <c r="E90" s="3">
        <v>1</v>
      </c>
      <c r="F90" s="3" t="s">
        <v>3220</v>
      </c>
      <c r="G90" s="9">
        <v>169</v>
      </c>
      <c r="H90" s="66">
        <v>4985.5</v>
      </c>
      <c r="I90" s="9">
        <v>186.4366</v>
      </c>
      <c r="J90" s="10">
        <v>1.1031751479289942</v>
      </c>
      <c r="K90" s="66">
        <v>920.91906690555254</v>
      </c>
      <c r="L90" s="69">
        <v>5906.4190669055524</v>
      </c>
      <c r="M90" s="64">
        <v>0</v>
      </c>
      <c r="N90" s="67">
        <v>0</v>
      </c>
      <c r="O90" s="64">
        <f t="shared" si="2"/>
        <v>5906.4190669055524</v>
      </c>
      <c r="P90" s="64">
        <f t="shared" si="3"/>
        <v>34.949225247961849</v>
      </c>
    </row>
    <row r="91" spans="1:16" ht="15">
      <c r="A91" s="3" t="str">
        <f>"132712"</f>
        <v>132712</v>
      </c>
      <c r="B91" s="3" t="s">
        <v>3020</v>
      </c>
      <c r="C91" s="61" t="s">
        <v>3280</v>
      </c>
      <c r="D91" s="3" t="s">
        <v>3249</v>
      </c>
      <c r="E91" s="3">
        <v>1</v>
      </c>
      <c r="F91" s="3" t="s">
        <v>3220</v>
      </c>
      <c r="G91" s="9">
        <v>141</v>
      </c>
      <c r="H91" s="66">
        <v>4159.5</v>
      </c>
      <c r="I91" s="9">
        <v>160.75460000000001</v>
      </c>
      <c r="J91" s="10">
        <v>1.1401035460992908</v>
      </c>
      <c r="K91" s="66">
        <v>1043.3449066384753</v>
      </c>
      <c r="L91" s="69">
        <v>5202.8449066384755</v>
      </c>
      <c r="M91" s="64">
        <v>0</v>
      </c>
      <c r="N91" s="67">
        <v>0</v>
      </c>
      <c r="O91" s="64">
        <f t="shared" si="2"/>
        <v>5202.8449066384755</v>
      </c>
      <c r="P91" s="64">
        <f t="shared" si="3"/>
        <v>36.899609266939542</v>
      </c>
    </row>
    <row r="92" spans="1:16" ht="15">
      <c r="A92" s="3" t="str">
        <f>"010203"</f>
        <v>010203</v>
      </c>
      <c r="B92" s="3" t="s">
        <v>3197</v>
      </c>
      <c r="C92" s="61" t="s">
        <v>3280</v>
      </c>
      <c r="D92" s="3" t="s">
        <v>3249</v>
      </c>
      <c r="E92" s="3">
        <v>1</v>
      </c>
      <c r="F92" s="3" t="s">
        <v>3220</v>
      </c>
      <c r="G92" s="9">
        <v>23</v>
      </c>
      <c r="H92" s="66">
        <v>678.5</v>
      </c>
      <c r="I92" s="9">
        <v>23</v>
      </c>
      <c r="J92" s="10">
        <v>1</v>
      </c>
      <c r="K92" s="66">
        <v>0</v>
      </c>
      <c r="L92" s="69">
        <v>678.5</v>
      </c>
      <c r="M92" s="64">
        <v>0</v>
      </c>
      <c r="N92" s="67">
        <v>0</v>
      </c>
      <c r="O92" s="64">
        <f t="shared" si="2"/>
        <v>678.5</v>
      </c>
      <c r="P92" s="64">
        <f t="shared" si="3"/>
        <v>29.5</v>
      </c>
    </row>
    <row r="93" spans="1:16" ht="15">
      <c r="A93" s="3" t="s">
        <v>1012</v>
      </c>
      <c r="B93" s="3" t="s">
        <v>1013</v>
      </c>
      <c r="C93" s="61" t="s">
        <v>3280</v>
      </c>
      <c r="D93" s="3" t="s">
        <v>3248</v>
      </c>
      <c r="E93" s="3">
        <v>1</v>
      </c>
      <c r="F93" s="3" t="s">
        <v>1907</v>
      </c>
      <c r="G93" s="9">
        <v>15602.846073999999</v>
      </c>
      <c r="H93" s="66">
        <v>460283.95918299997</v>
      </c>
      <c r="I93" s="9">
        <v>18214.989587599801</v>
      </c>
      <c r="J93" s="10">
        <v>1.1674145538071148</v>
      </c>
      <c r="K93" s="66">
        <v>137961.11438971595</v>
      </c>
      <c r="L93" s="69">
        <v>598245.07357271598</v>
      </c>
      <c r="M93" s="64">
        <v>9836699.9621674046</v>
      </c>
      <c r="N93" s="67">
        <v>197169.78159595761</v>
      </c>
      <c r="O93" s="64">
        <f t="shared" si="2"/>
        <v>795414.85516867356</v>
      </c>
      <c r="P93" s="64">
        <f t="shared" si="3"/>
        <v>50.97883113095137</v>
      </c>
    </row>
    <row r="94" spans="1:16" ht="15">
      <c r="A94" s="3" t="s">
        <v>1014</v>
      </c>
      <c r="B94" s="3" t="s">
        <v>1015</v>
      </c>
      <c r="C94" s="61" t="s">
        <v>3280</v>
      </c>
      <c r="D94" s="3" t="s">
        <v>3248</v>
      </c>
      <c r="E94" s="3">
        <v>1</v>
      </c>
      <c r="F94" s="3" t="s">
        <v>3223</v>
      </c>
      <c r="G94" s="9">
        <v>1445.1586850000001</v>
      </c>
      <c r="H94" s="66">
        <v>42632.181207500005</v>
      </c>
      <c r="I94" s="9">
        <v>1717.4277361955001</v>
      </c>
      <c r="J94" s="10">
        <v>1.1884007991797108</v>
      </c>
      <c r="K94" s="66">
        <v>14379.968604786482</v>
      </c>
      <c r="L94" s="69">
        <v>57012.149812286487</v>
      </c>
      <c r="M94" s="64">
        <v>1090926.3952451008</v>
      </c>
      <c r="N94" s="67">
        <v>21866.857779033806</v>
      </c>
      <c r="O94" s="64">
        <f t="shared" si="2"/>
        <v>78879.007591320289</v>
      </c>
      <c r="P94" s="64">
        <f t="shared" si="3"/>
        <v>54.581554544870123</v>
      </c>
    </row>
    <row r="95" spans="1:16" ht="15">
      <c r="A95" s="3" t="s">
        <v>331</v>
      </c>
      <c r="B95" s="3" t="s">
        <v>332</v>
      </c>
      <c r="C95" s="61" t="s">
        <v>3280</v>
      </c>
      <c r="D95" s="3" t="s">
        <v>1684</v>
      </c>
      <c r="E95" s="3">
        <v>1</v>
      </c>
      <c r="F95" s="3" t="s">
        <v>3266</v>
      </c>
      <c r="G95" s="9">
        <v>269.46829400000001</v>
      </c>
      <c r="H95" s="66">
        <v>7949.3146730000008</v>
      </c>
      <c r="I95" s="9">
        <v>415.16952504593002</v>
      </c>
      <c r="J95" s="10">
        <v>1.5406989775425304</v>
      </c>
      <c r="K95" s="66">
        <v>7695.2526147189355</v>
      </c>
      <c r="L95" s="69">
        <v>15644.567287718935</v>
      </c>
      <c r="M95" s="64">
        <v>0</v>
      </c>
      <c r="N95" s="67">
        <v>0</v>
      </c>
      <c r="O95" s="64">
        <f t="shared" si="2"/>
        <v>15644.567287718935</v>
      </c>
      <c r="P95" s="64">
        <f t="shared" si="3"/>
        <v>58.057172721473997</v>
      </c>
    </row>
    <row r="96" spans="1:16" ht="15">
      <c r="A96" s="3" t="str">
        <f>"093021"</f>
        <v>093021</v>
      </c>
      <c r="B96" s="3" t="s">
        <v>2576</v>
      </c>
      <c r="C96" s="61" t="s">
        <v>3280</v>
      </c>
      <c r="D96" s="3" t="s">
        <v>3249</v>
      </c>
      <c r="E96" s="3">
        <v>1</v>
      </c>
      <c r="F96" s="3" t="s">
        <v>3220</v>
      </c>
      <c r="G96" s="9">
        <v>48</v>
      </c>
      <c r="H96" s="66">
        <v>1416</v>
      </c>
      <c r="I96" s="9">
        <v>48</v>
      </c>
      <c r="J96" s="10">
        <v>1</v>
      </c>
      <c r="K96" s="66">
        <v>0</v>
      </c>
      <c r="L96" s="69">
        <v>1416</v>
      </c>
      <c r="M96" s="64">
        <v>0</v>
      </c>
      <c r="N96" s="67">
        <v>0</v>
      </c>
      <c r="O96" s="64">
        <f t="shared" si="2"/>
        <v>1416</v>
      </c>
      <c r="P96" s="64">
        <f t="shared" si="3"/>
        <v>29.5</v>
      </c>
    </row>
    <row r="97" spans="1:16" ht="15">
      <c r="A97" s="3" t="s">
        <v>710</v>
      </c>
      <c r="B97" s="3" t="s">
        <v>711</v>
      </c>
      <c r="C97" s="61" t="s">
        <v>3280</v>
      </c>
      <c r="D97" s="3" t="s">
        <v>3248</v>
      </c>
      <c r="E97" s="3">
        <v>1</v>
      </c>
      <c r="F97" s="3" t="s">
        <v>1909</v>
      </c>
      <c r="G97" s="9">
        <v>5911.7500040000004</v>
      </c>
      <c r="H97" s="66">
        <v>174396.62511800003</v>
      </c>
      <c r="I97" s="9">
        <v>8613.6451341653501</v>
      </c>
      <c r="J97" s="10">
        <v>1.4570381237936647</v>
      </c>
      <c r="K97" s="66">
        <v>142701.37195029593</v>
      </c>
      <c r="L97" s="69">
        <v>317097.99706829595</v>
      </c>
      <c r="M97" s="64">
        <v>3859505.549814831</v>
      </c>
      <c r="N97" s="67">
        <v>77361.093583432201</v>
      </c>
      <c r="O97" s="64">
        <f t="shared" si="2"/>
        <v>394459.09065172815</v>
      </c>
      <c r="P97" s="64">
        <f t="shared" si="3"/>
        <v>66.724589230740435</v>
      </c>
    </row>
    <row r="98" spans="1:16" ht="15">
      <c r="A98" s="3" t="s">
        <v>419</v>
      </c>
      <c r="B98" s="3" t="s">
        <v>1724</v>
      </c>
      <c r="C98" s="61" t="s">
        <v>3280</v>
      </c>
      <c r="D98" s="3" t="s">
        <v>1684</v>
      </c>
      <c r="E98" s="3">
        <v>1</v>
      </c>
      <c r="F98" s="3" t="s">
        <v>3266</v>
      </c>
      <c r="G98" s="9">
        <v>270.896342</v>
      </c>
      <c r="H98" s="66">
        <v>7991.4420890000001</v>
      </c>
      <c r="I98" s="9">
        <v>400.62414179833098</v>
      </c>
      <c r="J98" s="10">
        <v>1.4788835420979254</v>
      </c>
      <c r="K98" s="66">
        <v>6851.611228220484</v>
      </c>
      <c r="L98" s="69">
        <v>14843.053317220485</v>
      </c>
      <c r="M98" s="64">
        <v>0</v>
      </c>
      <c r="N98" s="67">
        <v>0</v>
      </c>
      <c r="O98" s="64">
        <f t="shared" si="2"/>
        <v>14843.053317220485</v>
      </c>
      <c r="P98" s="64">
        <f t="shared" si="3"/>
        <v>54.792372638315229</v>
      </c>
    </row>
    <row r="99" spans="1:16" ht="15">
      <c r="A99" s="3" t="s">
        <v>1671</v>
      </c>
      <c r="B99" s="3" t="s">
        <v>1700</v>
      </c>
      <c r="C99" s="61" t="s">
        <v>3280</v>
      </c>
      <c r="D99" s="3" t="s">
        <v>3248</v>
      </c>
      <c r="E99" s="3">
        <v>1</v>
      </c>
      <c r="F99" s="3" t="s">
        <v>1906</v>
      </c>
      <c r="G99" s="9">
        <v>2727.5203740000002</v>
      </c>
      <c r="H99" s="66">
        <v>80461.851032999999</v>
      </c>
      <c r="I99" s="9">
        <v>3174.5384249835001</v>
      </c>
      <c r="J99" s="10">
        <v>1.1638917367014689</v>
      </c>
      <c r="K99" s="66">
        <v>23609.387518304229</v>
      </c>
      <c r="L99" s="69">
        <v>104071.23855130422</v>
      </c>
      <c r="M99" s="64">
        <v>2195203.9209500663</v>
      </c>
      <c r="N99" s="67">
        <v>44001.329644799465</v>
      </c>
      <c r="O99" s="64">
        <f t="shared" si="2"/>
        <v>148072.56819610368</v>
      </c>
      <c r="P99" s="64">
        <f t="shared" si="3"/>
        <v>54.288345417178419</v>
      </c>
    </row>
    <row r="100" spans="1:16" ht="15">
      <c r="A100" s="3" t="str">
        <f>"134312"</f>
        <v>134312</v>
      </c>
      <c r="B100" s="3" t="s">
        <v>2879</v>
      </c>
      <c r="C100" s="61" t="s">
        <v>3280</v>
      </c>
      <c r="D100" s="3" t="s">
        <v>3249</v>
      </c>
      <c r="E100" s="3">
        <v>1</v>
      </c>
      <c r="F100" s="3" t="s">
        <v>3220</v>
      </c>
      <c r="G100" s="9">
        <v>545</v>
      </c>
      <c r="H100" s="66">
        <v>16077.5</v>
      </c>
      <c r="I100" s="9">
        <v>564.97239999999999</v>
      </c>
      <c r="J100" s="10">
        <v>1.0366466055045871</v>
      </c>
      <c r="K100" s="66">
        <v>1054.8480765667878</v>
      </c>
      <c r="L100" s="69">
        <v>17132.348076566788</v>
      </c>
      <c r="M100" s="64">
        <v>0</v>
      </c>
      <c r="N100" s="67">
        <v>0</v>
      </c>
      <c r="O100" s="64">
        <f t="shared" si="2"/>
        <v>17132.348076566788</v>
      </c>
      <c r="P100" s="64">
        <f t="shared" si="3"/>
        <v>31.435501057920714</v>
      </c>
    </row>
    <row r="101" spans="1:16" ht="15">
      <c r="A101" s="3" t="s">
        <v>1016</v>
      </c>
      <c r="B101" s="3" t="s">
        <v>1017</v>
      </c>
      <c r="C101" s="61" t="s">
        <v>3280</v>
      </c>
      <c r="D101" s="3" t="s">
        <v>3248</v>
      </c>
      <c r="E101" s="3">
        <v>1</v>
      </c>
      <c r="F101" s="3" t="s">
        <v>3223</v>
      </c>
      <c r="G101" s="9">
        <v>653.63554499999998</v>
      </c>
      <c r="H101" s="66">
        <v>19282.248577499999</v>
      </c>
      <c r="I101" s="9">
        <v>894.83377744033805</v>
      </c>
      <c r="J101" s="10">
        <v>1.3690102753520512</v>
      </c>
      <c r="K101" s="66">
        <v>12738.954335032329</v>
      </c>
      <c r="L101" s="69">
        <v>32021.202912532328</v>
      </c>
      <c r="M101" s="64">
        <v>371493.3170306792</v>
      </c>
      <c r="N101" s="67">
        <v>7446.3241193703807</v>
      </c>
      <c r="O101" s="64">
        <f t="shared" si="2"/>
        <v>39467.527031902711</v>
      </c>
      <c r="P101" s="64">
        <f t="shared" si="3"/>
        <v>60.3815495252828</v>
      </c>
    </row>
    <row r="102" spans="1:16" ht="15">
      <c r="A102" s="3" t="str">
        <f>"054627"</f>
        <v>054627</v>
      </c>
      <c r="B102" s="3" t="s">
        <v>2783</v>
      </c>
      <c r="C102" s="61" t="s">
        <v>3280</v>
      </c>
      <c r="D102" s="3" t="s">
        <v>3249</v>
      </c>
      <c r="E102" s="3">
        <v>1</v>
      </c>
      <c r="F102" s="3" t="s">
        <v>3220</v>
      </c>
      <c r="G102" s="9">
        <v>178</v>
      </c>
      <c r="H102" s="66">
        <v>5251</v>
      </c>
      <c r="I102" s="9">
        <v>189.18619999999999</v>
      </c>
      <c r="J102" s="10">
        <v>1.062843820224719</v>
      </c>
      <c r="K102" s="66">
        <v>590.8023849958638</v>
      </c>
      <c r="L102" s="69">
        <v>5841.8023849958636</v>
      </c>
      <c r="M102" s="64">
        <v>0</v>
      </c>
      <c r="N102" s="67">
        <v>0</v>
      </c>
      <c r="O102" s="64">
        <f t="shared" si="2"/>
        <v>5841.8023849958636</v>
      </c>
      <c r="P102" s="64">
        <f t="shared" si="3"/>
        <v>32.819114522448672</v>
      </c>
    </row>
    <row r="103" spans="1:16" ht="15">
      <c r="A103" s="3" t="s">
        <v>383</v>
      </c>
      <c r="B103" s="3" t="s">
        <v>384</v>
      </c>
      <c r="C103" s="61" t="s">
        <v>3280</v>
      </c>
      <c r="D103" s="3" t="s">
        <v>1684</v>
      </c>
      <c r="E103" s="3">
        <v>1</v>
      </c>
      <c r="F103" s="3" t="s">
        <v>3266</v>
      </c>
      <c r="G103" s="9">
        <v>133.83815000000001</v>
      </c>
      <c r="H103" s="66">
        <v>3948.2254250000005</v>
      </c>
      <c r="I103" s="9">
        <v>187.90902631844801</v>
      </c>
      <c r="J103" s="10">
        <v>1.4040019704280731</v>
      </c>
      <c r="K103" s="66">
        <v>2855.7689552980896</v>
      </c>
      <c r="L103" s="69">
        <v>6803.9943802980906</v>
      </c>
      <c r="M103" s="64">
        <v>0</v>
      </c>
      <c r="N103" s="67">
        <v>0</v>
      </c>
      <c r="O103" s="64">
        <f t="shared" si="2"/>
        <v>6803.9943802980906</v>
      </c>
      <c r="P103" s="64">
        <f t="shared" si="3"/>
        <v>50.837480795259722</v>
      </c>
    </row>
    <row r="104" spans="1:16" ht="15">
      <c r="A104" s="3" t="s">
        <v>1018</v>
      </c>
      <c r="B104" s="3" t="s">
        <v>1019</v>
      </c>
      <c r="C104" s="61" t="s">
        <v>3280</v>
      </c>
      <c r="D104" s="3" t="s">
        <v>3248</v>
      </c>
      <c r="E104" s="3">
        <v>1</v>
      </c>
      <c r="F104" s="3" t="s">
        <v>1904</v>
      </c>
      <c r="G104" s="9">
        <v>2597.6752339999998</v>
      </c>
      <c r="H104" s="66">
        <v>76631.419402999993</v>
      </c>
      <c r="I104" s="9">
        <v>2941.8283452257801</v>
      </c>
      <c r="J104" s="10">
        <v>1.1324850415176189</v>
      </c>
      <c r="K104" s="66">
        <v>18176.546004535772</v>
      </c>
      <c r="L104" s="69">
        <v>94807.965407535768</v>
      </c>
      <c r="M104" s="64">
        <v>2542585.5382001959</v>
      </c>
      <c r="N104" s="67">
        <v>50964.351579705253</v>
      </c>
      <c r="O104" s="64">
        <f t="shared" si="2"/>
        <v>145772.31698724104</v>
      </c>
      <c r="P104" s="64">
        <f t="shared" si="3"/>
        <v>56.116451771677106</v>
      </c>
    </row>
    <row r="105" spans="1:16" ht="15">
      <c r="A105" s="3" t="str">
        <f>"054650"</f>
        <v>054650</v>
      </c>
      <c r="B105" s="3" t="s">
        <v>2699</v>
      </c>
      <c r="C105" s="61" t="s">
        <v>3280</v>
      </c>
      <c r="D105" s="3" t="s">
        <v>3249</v>
      </c>
      <c r="E105" s="3">
        <v>1</v>
      </c>
      <c r="F105" s="3" t="s">
        <v>3220</v>
      </c>
      <c r="G105" s="9">
        <v>440</v>
      </c>
      <c r="H105" s="66">
        <v>12980</v>
      </c>
      <c r="I105" s="9">
        <v>453.27319999999997</v>
      </c>
      <c r="J105" s="10">
        <v>1.0301663636363636</v>
      </c>
      <c r="K105" s="66">
        <v>701.02789298663481</v>
      </c>
      <c r="L105" s="69">
        <v>13681.027892986634</v>
      </c>
      <c r="M105" s="64">
        <v>0</v>
      </c>
      <c r="N105" s="67">
        <v>0</v>
      </c>
      <c r="O105" s="64">
        <f t="shared" si="2"/>
        <v>13681.027892986634</v>
      </c>
      <c r="P105" s="64">
        <f t="shared" si="3"/>
        <v>31.093245211333262</v>
      </c>
    </row>
    <row r="106" spans="1:16" ht="15">
      <c r="A106" s="3" t="str">
        <f>"054759"</f>
        <v>054759</v>
      </c>
      <c r="B106" s="3" t="s">
        <v>2770</v>
      </c>
      <c r="C106" s="61" t="s">
        <v>3280</v>
      </c>
      <c r="D106" s="3" t="s">
        <v>3249</v>
      </c>
      <c r="E106" s="3">
        <v>1</v>
      </c>
      <c r="F106" s="3" t="s">
        <v>3220</v>
      </c>
      <c r="G106" s="9">
        <v>174</v>
      </c>
      <c r="H106" s="66">
        <v>5133</v>
      </c>
      <c r="I106" s="9">
        <v>188.5488</v>
      </c>
      <c r="J106" s="10">
        <v>1.0836137931034482</v>
      </c>
      <c r="K106" s="66">
        <v>768.39907554199237</v>
      </c>
      <c r="L106" s="69">
        <v>5901.3990755419927</v>
      </c>
      <c r="M106" s="64">
        <v>0</v>
      </c>
      <c r="N106" s="67">
        <v>0</v>
      </c>
      <c r="O106" s="64">
        <f t="shared" si="2"/>
        <v>5901.3990755419927</v>
      </c>
      <c r="P106" s="64">
        <f t="shared" si="3"/>
        <v>33.916086641045936</v>
      </c>
    </row>
    <row r="107" spans="1:16" ht="15">
      <c r="A107" s="3" t="str">
        <f>"055178"</f>
        <v>055178</v>
      </c>
      <c r="B107" s="3" t="s">
        <v>2625</v>
      </c>
      <c r="C107" s="61" t="s">
        <v>3280</v>
      </c>
      <c r="D107" s="3" t="s">
        <v>3249</v>
      </c>
      <c r="E107" s="3">
        <v>1</v>
      </c>
      <c r="F107" s="3" t="s">
        <v>3220</v>
      </c>
      <c r="G107" s="9">
        <v>209</v>
      </c>
      <c r="H107" s="66">
        <v>6165.5</v>
      </c>
      <c r="I107" s="9">
        <v>230.61380000000003</v>
      </c>
      <c r="J107" s="10">
        <v>1.1034153110047848</v>
      </c>
      <c r="K107" s="66">
        <v>1141.5390918116639</v>
      </c>
      <c r="L107" s="69">
        <v>7307.0390918116636</v>
      </c>
      <c r="M107" s="64">
        <v>0</v>
      </c>
      <c r="N107" s="67">
        <v>0</v>
      </c>
      <c r="O107" s="64">
        <f t="shared" si="2"/>
        <v>7307.0390918116636</v>
      </c>
      <c r="P107" s="64">
        <f t="shared" si="3"/>
        <v>34.96190953019935</v>
      </c>
    </row>
    <row r="108" spans="1:16" ht="15">
      <c r="A108" s="3" t="str">
        <f>"055475"</f>
        <v>055475</v>
      </c>
      <c r="B108" s="3" t="s">
        <v>2725</v>
      </c>
      <c r="C108" s="61" t="s">
        <v>3280</v>
      </c>
      <c r="D108" s="3" t="s">
        <v>3249</v>
      </c>
      <c r="E108" s="3">
        <v>1</v>
      </c>
      <c r="F108" s="3" t="s">
        <v>3220</v>
      </c>
      <c r="G108" s="9">
        <v>169</v>
      </c>
      <c r="H108" s="66">
        <v>4985.5</v>
      </c>
      <c r="I108" s="9">
        <v>175.69920000000002</v>
      </c>
      <c r="J108" s="10">
        <v>1.0396402366863906</v>
      </c>
      <c r="K108" s="66">
        <v>353.82018358015296</v>
      </c>
      <c r="L108" s="69">
        <v>5339.3201835801528</v>
      </c>
      <c r="M108" s="64">
        <v>0</v>
      </c>
      <c r="N108" s="67">
        <v>0</v>
      </c>
      <c r="O108" s="64">
        <f t="shared" si="2"/>
        <v>5339.3201835801528</v>
      </c>
      <c r="P108" s="64">
        <f t="shared" si="3"/>
        <v>31.593610553728716</v>
      </c>
    </row>
    <row r="109" spans="1:16" ht="15">
      <c r="A109" s="3" t="str">
        <f>"055129"</f>
        <v>055129</v>
      </c>
      <c r="B109" s="3" t="s">
        <v>2793</v>
      </c>
      <c r="C109" s="61" t="s">
        <v>3280</v>
      </c>
      <c r="D109" s="3" t="s">
        <v>3249</v>
      </c>
      <c r="E109" s="3">
        <v>1</v>
      </c>
      <c r="F109" s="3" t="s">
        <v>3220</v>
      </c>
      <c r="G109" s="9">
        <v>371</v>
      </c>
      <c r="H109" s="66">
        <v>10944.5</v>
      </c>
      <c r="I109" s="9">
        <v>387.02359999999999</v>
      </c>
      <c r="J109" s="10">
        <v>1.0431902964959567</v>
      </c>
      <c r="K109" s="66">
        <v>846.29106365161795</v>
      </c>
      <c r="L109" s="69">
        <v>11790.791063651617</v>
      </c>
      <c r="M109" s="64">
        <v>0</v>
      </c>
      <c r="N109" s="67">
        <v>0</v>
      </c>
      <c r="O109" s="64">
        <f t="shared" si="2"/>
        <v>11790.791063651617</v>
      </c>
      <c r="P109" s="64">
        <f t="shared" si="3"/>
        <v>31.781107988279292</v>
      </c>
    </row>
    <row r="110" spans="1:16" ht="15">
      <c r="A110" s="3" t="str">
        <f>"052647"</f>
        <v>052647</v>
      </c>
      <c r="B110" s="3" t="s">
        <v>2931</v>
      </c>
      <c r="C110" s="61" t="s">
        <v>3280</v>
      </c>
      <c r="D110" s="3" t="s">
        <v>3249</v>
      </c>
      <c r="E110" s="3">
        <v>1</v>
      </c>
      <c r="F110" s="3" t="s">
        <v>3220</v>
      </c>
      <c r="G110" s="9">
        <v>621</v>
      </c>
      <c r="H110" s="66">
        <v>18319.5</v>
      </c>
      <c r="I110" s="9">
        <v>672.83100000000002</v>
      </c>
      <c r="J110" s="10">
        <v>1.083463768115942</v>
      </c>
      <c r="K110" s="66">
        <v>2737.4692403783829</v>
      </c>
      <c r="L110" s="69">
        <v>21056.969240378385</v>
      </c>
      <c r="M110" s="64">
        <v>0</v>
      </c>
      <c r="N110" s="67">
        <v>0</v>
      </c>
      <c r="O110" s="64">
        <f t="shared" si="2"/>
        <v>21056.969240378385</v>
      </c>
      <c r="P110" s="64">
        <f t="shared" si="3"/>
        <v>33.908163027984514</v>
      </c>
    </row>
    <row r="111" spans="1:16" ht="15">
      <c r="A111" s="3" t="s">
        <v>93</v>
      </c>
      <c r="B111" s="3" t="s">
        <v>94</v>
      </c>
      <c r="C111" s="61" t="s">
        <v>3280</v>
      </c>
      <c r="D111" s="3" t="s">
        <v>1684</v>
      </c>
      <c r="E111" s="3">
        <v>1</v>
      </c>
      <c r="F111" s="3" t="s">
        <v>3266</v>
      </c>
      <c r="G111" s="9">
        <v>122.258385</v>
      </c>
      <c r="H111" s="66">
        <v>3606.6223574999999</v>
      </c>
      <c r="I111" s="9">
        <v>336.72061081088901</v>
      </c>
      <c r="J111" s="10">
        <v>2.7541719188494844</v>
      </c>
      <c r="K111" s="66">
        <v>11326.88442014222</v>
      </c>
      <c r="L111" s="69">
        <v>14933.50677764222</v>
      </c>
      <c r="M111" s="64">
        <v>0</v>
      </c>
      <c r="N111" s="67">
        <v>0</v>
      </c>
      <c r="O111" s="64">
        <f t="shared" si="2"/>
        <v>14933.50677764222</v>
      </c>
      <c r="P111" s="64">
        <f t="shared" si="3"/>
        <v>122.14709672176858</v>
      </c>
    </row>
    <row r="112" spans="1:16" ht="15">
      <c r="A112" s="3" t="s">
        <v>324</v>
      </c>
      <c r="B112" s="3" t="s">
        <v>1833</v>
      </c>
      <c r="C112" s="61" t="s">
        <v>3280</v>
      </c>
      <c r="D112" s="3" t="s">
        <v>1684</v>
      </c>
      <c r="E112" s="3">
        <v>1</v>
      </c>
      <c r="F112" s="3" t="s">
        <v>3266</v>
      </c>
      <c r="G112" s="9">
        <v>97.523808000000002</v>
      </c>
      <c r="H112" s="66">
        <v>2876.9523360000003</v>
      </c>
      <c r="I112" s="9">
        <v>261.911341526846</v>
      </c>
      <c r="J112" s="10">
        <v>2.6856143837907354</v>
      </c>
      <c r="K112" s="66">
        <v>8682.1750792269286</v>
      </c>
      <c r="L112" s="69">
        <v>11559.127415226929</v>
      </c>
      <c r="M112" s="64">
        <v>0</v>
      </c>
      <c r="N112" s="67">
        <v>0</v>
      </c>
      <c r="O112" s="64">
        <f t="shared" si="2"/>
        <v>11559.127415226929</v>
      </c>
      <c r="P112" s="64">
        <f t="shared" si="3"/>
        <v>118.5262106995138</v>
      </c>
    </row>
    <row r="113" spans="1:16" ht="15">
      <c r="A113" s="3" t="s">
        <v>1020</v>
      </c>
      <c r="B113" s="3" t="s">
        <v>1021</v>
      </c>
      <c r="C113" s="61" t="s">
        <v>3280</v>
      </c>
      <c r="D113" s="3" t="s">
        <v>3248</v>
      </c>
      <c r="E113" s="3">
        <v>1</v>
      </c>
      <c r="F113" s="3" t="s">
        <v>1906</v>
      </c>
      <c r="G113" s="9">
        <v>2882.5249180000001</v>
      </c>
      <c r="H113" s="66">
        <v>85034.485081000006</v>
      </c>
      <c r="I113" s="9">
        <v>3341.8101578416299</v>
      </c>
      <c r="J113" s="10">
        <v>1.1593343519681691</v>
      </c>
      <c r="K113" s="66">
        <v>24257.282642169153</v>
      </c>
      <c r="L113" s="69">
        <v>109291.76772316916</v>
      </c>
      <c r="M113" s="64">
        <v>3340301.0800285526</v>
      </c>
      <c r="N113" s="67">
        <v>66954.002556448278</v>
      </c>
      <c r="O113" s="64">
        <f t="shared" si="2"/>
        <v>176245.77027961746</v>
      </c>
      <c r="P113" s="64">
        <f t="shared" si="3"/>
        <v>61.142843615694794</v>
      </c>
    </row>
    <row r="114" spans="1:16" ht="15">
      <c r="A114" s="3" t="s">
        <v>1022</v>
      </c>
      <c r="B114" s="3" t="s">
        <v>1023</v>
      </c>
      <c r="C114" s="61" t="s">
        <v>2922</v>
      </c>
      <c r="D114" s="3" t="s">
        <v>3248</v>
      </c>
      <c r="E114" s="3">
        <v>1</v>
      </c>
      <c r="F114" s="3" t="s">
        <v>3223</v>
      </c>
      <c r="G114" s="9">
        <v>610.75377400000002</v>
      </c>
      <c r="H114" s="66">
        <v>18017.236333000001</v>
      </c>
      <c r="I114" s="9">
        <v>763.13046875369298</v>
      </c>
      <c r="J114" s="10">
        <v>1.2494895672207389</v>
      </c>
      <c r="K114" s="66">
        <v>8047.8191591665309</v>
      </c>
      <c r="L114" s="69">
        <v>26065.055492166532</v>
      </c>
      <c r="M114" s="64">
        <v>549345.89747021161</v>
      </c>
      <c r="N114" s="67">
        <v>11011.25489660367</v>
      </c>
      <c r="O114" s="64">
        <f t="shared" si="2"/>
        <v>37076.310388770202</v>
      </c>
      <c r="P114" s="64">
        <f t="shared" si="3"/>
        <v>60.705822816201213</v>
      </c>
    </row>
    <row r="115" spans="1:16" ht="15">
      <c r="A115" s="19">
        <v>71076</v>
      </c>
      <c r="B115" s="20" t="s">
        <v>1921</v>
      </c>
      <c r="C115" s="61" t="s">
        <v>2922</v>
      </c>
      <c r="D115" s="19" t="s">
        <v>1973</v>
      </c>
      <c r="E115" s="19">
        <v>1</v>
      </c>
      <c r="F115" s="19" t="s">
        <v>1974</v>
      </c>
      <c r="G115" s="9">
        <v>22.11</v>
      </c>
      <c r="H115" s="66">
        <v>652.245</v>
      </c>
      <c r="I115" s="9">
        <v>102.592242</v>
      </c>
      <c r="J115" s="10">
        <v>4.6400833107191319</v>
      </c>
      <c r="K115" s="66">
        <v>4250.6928647274626</v>
      </c>
      <c r="L115" s="69">
        <v>4902.9378647274625</v>
      </c>
      <c r="M115" s="64">
        <v>0</v>
      </c>
      <c r="N115" s="67">
        <v>0</v>
      </c>
      <c r="O115" s="64">
        <f t="shared" si="2"/>
        <v>4902.9378647274625</v>
      </c>
      <c r="P115" s="64">
        <f t="shared" si="3"/>
        <v>221.75205177419551</v>
      </c>
    </row>
    <row r="116" spans="1:16" ht="15">
      <c r="A116" s="3" t="s">
        <v>874</v>
      </c>
      <c r="B116" s="3" t="s">
        <v>875</v>
      </c>
      <c r="C116" s="61" t="s">
        <v>2922</v>
      </c>
      <c r="D116" s="3" t="s">
        <v>3248</v>
      </c>
      <c r="E116" s="3">
        <v>1</v>
      </c>
      <c r="F116" s="3" t="s">
        <v>3223</v>
      </c>
      <c r="G116" s="9">
        <v>1881.613881</v>
      </c>
      <c r="H116" s="66">
        <v>55507.609489499999</v>
      </c>
      <c r="I116" s="9">
        <v>2295.5337278186498</v>
      </c>
      <c r="J116" s="10">
        <v>1.2199812889340871</v>
      </c>
      <c r="K116" s="66">
        <v>21861.296302370891</v>
      </c>
      <c r="L116" s="69">
        <v>77368.905791870886</v>
      </c>
      <c r="M116" s="64">
        <v>2594145.9250924806</v>
      </c>
      <c r="N116" s="67">
        <v>51997.84352940938</v>
      </c>
      <c r="O116" s="64">
        <f t="shared" si="2"/>
        <v>129366.74932128027</v>
      </c>
      <c r="P116" s="64">
        <f t="shared" si="3"/>
        <v>68.753079804304576</v>
      </c>
    </row>
    <row r="117" spans="1:16" ht="15">
      <c r="A117" s="3" t="s">
        <v>1024</v>
      </c>
      <c r="B117" s="3" t="s">
        <v>1025</v>
      </c>
      <c r="C117" s="61" t="s">
        <v>3339</v>
      </c>
      <c r="D117" s="3" t="s">
        <v>3248</v>
      </c>
      <c r="E117" s="3">
        <v>1</v>
      </c>
      <c r="F117" s="3" t="s">
        <v>3223</v>
      </c>
      <c r="G117" s="9">
        <v>1717.003346</v>
      </c>
      <c r="H117" s="66">
        <v>50651.598706999997</v>
      </c>
      <c r="I117" s="9">
        <v>2082.3062131083102</v>
      </c>
      <c r="J117" s="10">
        <v>1.2127560601202871</v>
      </c>
      <c r="K117" s="66">
        <v>19293.576472208351</v>
      </c>
      <c r="L117" s="69">
        <v>69945.175179208352</v>
      </c>
      <c r="M117" s="64">
        <v>2079138.6018268699</v>
      </c>
      <c r="N117" s="67">
        <v>41674.881373488832</v>
      </c>
      <c r="O117" s="64">
        <f t="shared" si="2"/>
        <v>111620.05655269718</v>
      </c>
      <c r="P117" s="64">
        <f t="shared" si="3"/>
        <v>65.008642419207717</v>
      </c>
    </row>
    <row r="118" spans="1:16" ht="15">
      <c r="A118" s="3" t="s">
        <v>916</v>
      </c>
      <c r="B118" s="3" t="s">
        <v>917</v>
      </c>
      <c r="C118" s="61" t="s">
        <v>3339</v>
      </c>
      <c r="D118" s="3" t="s">
        <v>3248</v>
      </c>
      <c r="E118" s="3">
        <v>1</v>
      </c>
      <c r="F118" s="3" t="s">
        <v>3224</v>
      </c>
      <c r="G118" s="9">
        <v>814.68800899999997</v>
      </c>
      <c r="H118" s="66">
        <v>24033.296265499997</v>
      </c>
      <c r="I118" s="9">
        <v>984.65006967016802</v>
      </c>
      <c r="J118" s="10">
        <v>1.2086222686385066</v>
      </c>
      <c r="K118" s="66">
        <v>8976.5953409332142</v>
      </c>
      <c r="L118" s="69">
        <v>33009.891606433215</v>
      </c>
      <c r="M118" s="64">
        <v>616362.40972375101</v>
      </c>
      <c r="N118" s="67">
        <v>12354.55408588195</v>
      </c>
      <c r="O118" s="64">
        <f t="shared" si="2"/>
        <v>45364.445692315167</v>
      </c>
      <c r="P118" s="64">
        <f t="shared" si="3"/>
        <v>55.683212703717565</v>
      </c>
    </row>
    <row r="119" spans="1:16" ht="15">
      <c r="A119" s="3" t="s">
        <v>1026</v>
      </c>
      <c r="B119" s="3" t="s">
        <v>1027</v>
      </c>
      <c r="C119" s="61" t="s">
        <v>3339</v>
      </c>
      <c r="D119" s="3" t="s">
        <v>3248</v>
      </c>
      <c r="E119" s="3">
        <v>1</v>
      </c>
      <c r="F119" s="3" t="s">
        <v>3224</v>
      </c>
      <c r="G119" s="9">
        <v>794.41681700000004</v>
      </c>
      <c r="H119" s="66">
        <v>23435.2961015</v>
      </c>
      <c r="I119" s="9">
        <v>985.16571651883203</v>
      </c>
      <c r="J119" s="10">
        <v>1.2401118599668717</v>
      </c>
      <c r="K119" s="66">
        <v>10074.458240605609</v>
      </c>
      <c r="L119" s="69">
        <v>33509.754342105611</v>
      </c>
      <c r="M119" s="64">
        <v>1127650.9678655732</v>
      </c>
      <c r="N119" s="67">
        <v>22602.976191777176</v>
      </c>
      <c r="O119" s="64">
        <f t="shared" si="2"/>
        <v>56112.730533882786</v>
      </c>
      <c r="P119" s="64">
        <f t="shared" si="3"/>
        <v>70.633865413101873</v>
      </c>
    </row>
    <row r="120" spans="1:16" ht="15">
      <c r="A120" s="3" t="s">
        <v>812</v>
      </c>
      <c r="B120" s="3" t="s">
        <v>813</v>
      </c>
      <c r="C120" s="61" t="s">
        <v>3339</v>
      </c>
      <c r="D120" s="3" t="s">
        <v>3248</v>
      </c>
      <c r="E120" s="3">
        <v>1</v>
      </c>
      <c r="F120" s="3" t="s">
        <v>1905</v>
      </c>
      <c r="G120" s="9">
        <v>1939.60706</v>
      </c>
      <c r="H120" s="66">
        <v>57218.40827</v>
      </c>
      <c r="I120" s="9">
        <v>2490.7603760955799</v>
      </c>
      <c r="J120" s="10">
        <v>1.2841572024880028</v>
      </c>
      <c r="K120" s="66">
        <v>29109.321632694591</v>
      </c>
      <c r="L120" s="69">
        <v>86327.729902694584</v>
      </c>
      <c r="M120" s="64">
        <v>1363874.3513317255</v>
      </c>
      <c r="N120" s="67">
        <v>27337.908954290437</v>
      </c>
      <c r="O120" s="64">
        <f t="shared" si="2"/>
        <v>113665.63885698502</v>
      </c>
      <c r="P120" s="64">
        <f t="shared" si="3"/>
        <v>58.602405199012331</v>
      </c>
    </row>
    <row r="121" spans="1:16" ht="15">
      <c r="A121" s="3" t="s">
        <v>1028</v>
      </c>
      <c r="B121" s="3" t="s">
        <v>1029</v>
      </c>
      <c r="C121" s="61" t="s">
        <v>3339</v>
      </c>
      <c r="D121" s="3" t="s">
        <v>3248</v>
      </c>
      <c r="E121" s="3">
        <v>1</v>
      </c>
      <c r="F121" s="3" t="s">
        <v>1904</v>
      </c>
      <c r="G121" s="9">
        <v>1185.9848440000001</v>
      </c>
      <c r="H121" s="66">
        <v>34986.552898000002</v>
      </c>
      <c r="I121" s="9">
        <v>1326.65695951629</v>
      </c>
      <c r="J121" s="10">
        <v>1.1186120684661043</v>
      </c>
      <c r="K121" s="66">
        <v>7429.6384249734401</v>
      </c>
      <c r="L121" s="69">
        <v>42416.191322973442</v>
      </c>
      <c r="M121" s="64">
        <v>828050.42559911532</v>
      </c>
      <c r="N121" s="67">
        <v>16597.692538529296</v>
      </c>
      <c r="O121" s="64">
        <f t="shared" si="2"/>
        <v>59013.883861502734</v>
      </c>
      <c r="P121" s="64">
        <f t="shared" si="3"/>
        <v>49.759391243538296</v>
      </c>
    </row>
    <row r="122" spans="1:16" ht="15">
      <c r="A122" s="3" t="str">
        <f>"052829"</f>
        <v>052829</v>
      </c>
      <c r="B122" s="3" t="s">
        <v>2765</v>
      </c>
      <c r="C122" s="61" t="s">
        <v>3288</v>
      </c>
      <c r="D122" s="3" t="s">
        <v>3249</v>
      </c>
      <c r="E122" s="3">
        <v>1</v>
      </c>
      <c r="F122" s="3" t="s">
        <v>3220</v>
      </c>
      <c r="G122" s="9">
        <v>515</v>
      </c>
      <c r="H122" s="66">
        <v>15192.5</v>
      </c>
      <c r="I122" s="9">
        <v>564.82759999999996</v>
      </c>
      <c r="J122" s="10">
        <v>1.0967526213592231</v>
      </c>
      <c r="K122" s="66">
        <v>2631.6590905419107</v>
      </c>
      <c r="L122" s="69">
        <v>17824.159090541911</v>
      </c>
      <c r="M122" s="64">
        <v>0</v>
      </c>
      <c r="N122" s="67">
        <v>0</v>
      </c>
      <c r="O122" s="64">
        <f t="shared" si="2"/>
        <v>17824.159090541911</v>
      </c>
      <c r="P122" s="64">
        <f t="shared" si="3"/>
        <v>34.610017651537689</v>
      </c>
    </row>
    <row r="123" spans="1:16" ht="15">
      <c r="A123" s="3" t="s">
        <v>1040</v>
      </c>
      <c r="B123" s="3" t="s">
        <v>1041</v>
      </c>
      <c r="C123" s="61" t="s">
        <v>3288</v>
      </c>
      <c r="D123" s="3" t="s">
        <v>3248</v>
      </c>
      <c r="E123" s="3">
        <v>1</v>
      </c>
      <c r="F123" s="3" t="s">
        <v>1904</v>
      </c>
      <c r="G123" s="9">
        <v>1845.8696600000001</v>
      </c>
      <c r="H123" s="66">
        <v>54453.154970000003</v>
      </c>
      <c r="I123" s="9">
        <v>2203.3104291112199</v>
      </c>
      <c r="J123" s="10">
        <v>1.1936435582950207</v>
      </c>
      <c r="K123" s="66">
        <v>18878.337494919175</v>
      </c>
      <c r="L123" s="69">
        <v>73331.492464919182</v>
      </c>
      <c r="M123" s="64">
        <v>1155439.4658956369</v>
      </c>
      <c r="N123" s="67">
        <v>23159.977229578486</v>
      </c>
      <c r="O123" s="64">
        <f t="shared" si="2"/>
        <v>96491.469694497675</v>
      </c>
      <c r="P123" s="64">
        <f t="shared" si="3"/>
        <v>52.274259545767535</v>
      </c>
    </row>
    <row r="124" spans="1:16" ht="15">
      <c r="A124" s="3" t="s">
        <v>329</v>
      </c>
      <c r="B124" s="3" t="s">
        <v>330</v>
      </c>
      <c r="C124" s="61" t="s">
        <v>3288</v>
      </c>
      <c r="D124" s="3" t="s">
        <v>1684</v>
      </c>
      <c r="E124" s="3">
        <v>1</v>
      </c>
      <c r="F124" s="3" t="s">
        <v>3266</v>
      </c>
      <c r="G124" s="9">
        <v>177.701978</v>
      </c>
      <c r="H124" s="66">
        <v>5242.2083510000002</v>
      </c>
      <c r="I124" s="9">
        <v>254.73660921139199</v>
      </c>
      <c r="J124" s="10">
        <v>1.4335046355611867</v>
      </c>
      <c r="K124" s="66">
        <v>4068.6063048190858</v>
      </c>
      <c r="L124" s="69">
        <v>9310.8146558190856</v>
      </c>
      <c r="M124" s="64">
        <v>0</v>
      </c>
      <c r="N124" s="67">
        <v>0</v>
      </c>
      <c r="O124" s="64">
        <f t="shared" si="2"/>
        <v>9310.8146558190856</v>
      </c>
      <c r="P124" s="64">
        <f t="shared" si="3"/>
        <v>52.395672578383376</v>
      </c>
    </row>
    <row r="125" spans="1:16" ht="15">
      <c r="A125" s="3" t="str">
        <f>"134619"</f>
        <v>134619</v>
      </c>
      <c r="B125" s="3" t="s">
        <v>2779</v>
      </c>
      <c r="C125" s="61" t="s">
        <v>3288</v>
      </c>
      <c r="D125" s="3" t="s">
        <v>3249</v>
      </c>
      <c r="E125" s="3">
        <v>1</v>
      </c>
      <c r="F125" s="3" t="s">
        <v>3220</v>
      </c>
      <c r="G125" s="9">
        <v>279</v>
      </c>
      <c r="H125" s="66">
        <v>8230.5</v>
      </c>
      <c r="I125" s="9">
        <v>307.02120000000002</v>
      </c>
      <c r="J125" s="10">
        <v>1.1004344086021507</v>
      </c>
      <c r="K125" s="66">
        <v>1479.9477740828997</v>
      </c>
      <c r="L125" s="69">
        <v>9710.4477740828988</v>
      </c>
      <c r="M125" s="64">
        <v>0</v>
      </c>
      <c r="N125" s="67">
        <v>0</v>
      </c>
      <c r="O125" s="64">
        <f t="shared" si="2"/>
        <v>9710.4477740828988</v>
      </c>
      <c r="P125" s="64">
        <f t="shared" si="3"/>
        <v>34.804472308540859</v>
      </c>
    </row>
    <row r="126" spans="1:16" ht="15">
      <c r="A126" s="3" t="s">
        <v>1676</v>
      </c>
      <c r="B126" s="3" t="s">
        <v>1885</v>
      </c>
      <c r="C126" s="61" t="s">
        <v>3288</v>
      </c>
      <c r="D126" s="3" t="s">
        <v>1673</v>
      </c>
      <c r="E126" s="3">
        <v>1</v>
      </c>
      <c r="F126" s="3" t="s">
        <v>1673</v>
      </c>
      <c r="G126" s="9">
        <v>640.07626300000004</v>
      </c>
      <c r="H126" s="66">
        <v>18882.249758500002</v>
      </c>
      <c r="I126" s="9">
        <v>683.80273086471504</v>
      </c>
      <c r="J126" s="10">
        <v>1.0683144656228487</v>
      </c>
      <c r="K126" s="66">
        <v>2309.4260340346727</v>
      </c>
      <c r="L126" s="69">
        <v>21191.675792534676</v>
      </c>
      <c r="M126" s="64">
        <v>0</v>
      </c>
      <c r="N126" s="67">
        <v>0</v>
      </c>
      <c r="O126" s="64">
        <f t="shared" si="2"/>
        <v>21191.675792534676</v>
      </c>
      <c r="P126" s="64">
        <f t="shared" si="3"/>
        <v>33.10804823976838</v>
      </c>
    </row>
    <row r="127" spans="1:16" ht="15">
      <c r="A127" s="3" t="s">
        <v>1030</v>
      </c>
      <c r="B127" s="3" t="s">
        <v>1031</v>
      </c>
      <c r="C127" s="61" t="s">
        <v>3288</v>
      </c>
      <c r="D127" s="3" t="s">
        <v>3248</v>
      </c>
      <c r="E127" s="3">
        <v>1</v>
      </c>
      <c r="F127" s="3" t="s">
        <v>1904</v>
      </c>
      <c r="G127" s="9">
        <v>1497.9593500000001</v>
      </c>
      <c r="H127" s="66">
        <v>44189.800825000006</v>
      </c>
      <c r="I127" s="9">
        <v>1818.72170453179</v>
      </c>
      <c r="J127" s="10">
        <v>1.2141328831999278</v>
      </c>
      <c r="K127" s="66">
        <v>16941.156431520136</v>
      </c>
      <c r="L127" s="69">
        <v>61130.957256520138</v>
      </c>
      <c r="M127" s="64">
        <v>1280816.9164004794</v>
      </c>
      <c r="N127" s="67">
        <v>25673.080671604268</v>
      </c>
      <c r="O127" s="64">
        <f t="shared" si="2"/>
        <v>86804.03792812441</v>
      </c>
      <c r="P127" s="64">
        <f t="shared" si="3"/>
        <v>57.948193272483934</v>
      </c>
    </row>
    <row r="128" spans="1:16" ht="15">
      <c r="A128" s="3" t="str">
        <f>"000479"</f>
        <v>000479</v>
      </c>
      <c r="B128" s="3" t="s">
        <v>2704</v>
      </c>
      <c r="C128" s="61" t="s">
        <v>3288</v>
      </c>
      <c r="D128" s="3" t="s">
        <v>3249</v>
      </c>
      <c r="E128" s="3">
        <v>1</v>
      </c>
      <c r="F128" s="3" t="s">
        <v>3220</v>
      </c>
      <c r="G128" s="9">
        <v>25</v>
      </c>
      <c r="H128" s="66">
        <v>737.5</v>
      </c>
      <c r="I128" s="9">
        <v>30.0244</v>
      </c>
      <c r="J128" s="10">
        <v>1.200976</v>
      </c>
      <c r="K128" s="66">
        <v>265.36513768511395</v>
      </c>
      <c r="L128" s="69">
        <v>1002.865137685114</v>
      </c>
      <c r="M128" s="64">
        <v>0</v>
      </c>
      <c r="N128" s="67">
        <v>0</v>
      </c>
      <c r="O128" s="64">
        <f t="shared" si="2"/>
        <v>1002.865137685114</v>
      </c>
      <c r="P128" s="64">
        <f t="shared" si="3"/>
        <v>40.114605507404555</v>
      </c>
    </row>
    <row r="129" spans="1:16" ht="15">
      <c r="A129" s="3" t="str">
        <f>"112490"</f>
        <v>112490</v>
      </c>
      <c r="B129" s="3" t="s">
        <v>2924</v>
      </c>
      <c r="C129" s="61" t="s">
        <v>3288</v>
      </c>
      <c r="D129" s="3" t="s">
        <v>3249</v>
      </c>
      <c r="E129" s="3">
        <v>1</v>
      </c>
      <c r="F129" s="3" t="s">
        <v>3220</v>
      </c>
      <c r="G129" s="9">
        <v>141</v>
      </c>
      <c r="H129" s="66">
        <v>4159.5</v>
      </c>
      <c r="I129" s="9">
        <v>188.71960000000001</v>
      </c>
      <c r="J129" s="10">
        <v>1.3384368794326242</v>
      </c>
      <c r="K129" s="66">
        <v>2520.3244614836731</v>
      </c>
      <c r="L129" s="69">
        <v>6679.8244614836731</v>
      </c>
      <c r="M129" s="64">
        <v>0</v>
      </c>
      <c r="N129" s="67">
        <v>0</v>
      </c>
      <c r="O129" s="64">
        <f t="shared" si="2"/>
        <v>6679.8244614836731</v>
      </c>
      <c r="P129" s="64">
        <f t="shared" si="3"/>
        <v>47.37464157080619</v>
      </c>
    </row>
    <row r="130" spans="1:16" ht="15">
      <c r="A130" s="3" t="s">
        <v>1034</v>
      </c>
      <c r="B130" s="3" t="s">
        <v>1035</v>
      </c>
      <c r="C130" s="61" t="s">
        <v>3288</v>
      </c>
      <c r="D130" s="3" t="s">
        <v>3248</v>
      </c>
      <c r="E130" s="3">
        <v>1</v>
      </c>
      <c r="F130" s="3" t="s">
        <v>1904</v>
      </c>
      <c r="G130" s="9">
        <v>3110.6273379999998</v>
      </c>
      <c r="H130" s="66">
        <v>91763.506471000001</v>
      </c>
      <c r="I130" s="9">
        <v>3613.75297626766</v>
      </c>
      <c r="J130" s="10">
        <v>1.1617441061233482</v>
      </c>
      <c r="K130" s="66">
        <v>26572.725951717319</v>
      </c>
      <c r="L130" s="69">
        <v>118336.23242271732</v>
      </c>
      <c r="M130" s="64">
        <v>2740688.1970458585</v>
      </c>
      <c r="N130" s="67">
        <v>54935.181037593022</v>
      </c>
      <c r="O130" s="64">
        <f t="shared" si="2"/>
        <v>173271.41346031034</v>
      </c>
      <c r="P130" s="64">
        <f t="shared" si="3"/>
        <v>55.703044637843519</v>
      </c>
    </row>
    <row r="131" spans="1:16" ht="15">
      <c r="A131" s="3" t="s">
        <v>1036</v>
      </c>
      <c r="B131" s="3" t="s">
        <v>1037</v>
      </c>
      <c r="C131" s="61" t="s">
        <v>3288</v>
      </c>
      <c r="D131" s="3" t="s">
        <v>3248</v>
      </c>
      <c r="E131" s="3">
        <v>1</v>
      </c>
      <c r="F131" s="3" t="s">
        <v>1904</v>
      </c>
      <c r="G131" s="9">
        <v>1574.123726</v>
      </c>
      <c r="H131" s="66">
        <v>46436.649917000002</v>
      </c>
      <c r="I131" s="9">
        <v>1859.6028425244899</v>
      </c>
      <c r="J131" s="10">
        <v>1.1813574827754612</v>
      </c>
      <c r="K131" s="66">
        <v>15077.662021882405</v>
      </c>
      <c r="L131" s="69">
        <v>61514.311938882405</v>
      </c>
      <c r="M131" s="64">
        <v>1744993.3011608804</v>
      </c>
      <c r="N131" s="67">
        <v>34977.172161352595</v>
      </c>
      <c r="O131" s="64">
        <f t="shared" ref="O131:O194" si="4">(N131+L131)</f>
        <v>96491.484100235</v>
      </c>
      <c r="P131" s="64">
        <f t="shared" ref="P131:P194" si="5">O131/G131</f>
        <v>61.298538676771713</v>
      </c>
    </row>
    <row r="132" spans="1:16" ht="15">
      <c r="A132" s="3" t="str">
        <f>"062612"</f>
        <v>062612</v>
      </c>
      <c r="B132" s="3" t="s">
        <v>2632</v>
      </c>
      <c r="C132" s="61" t="s">
        <v>3288</v>
      </c>
      <c r="D132" s="3" t="s">
        <v>3249</v>
      </c>
      <c r="E132" s="3">
        <v>1</v>
      </c>
      <c r="F132" s="3" t="s">
        <v>3220</v>
      </c>
      <c r="G132" s="9">
        <v>115</v>
      </c>
      <c r="H132" s="66">
        <v>3392.5</v>
      </c>
      <c r="I132" s="9">
        <v>117.9</v>
      </c>
      <c r="J132" s="10">
        <v>1.0252173913043479</v>
      </c>
      <c r="K132" s="66">
        <v>153.16433788847067</v>
      </c>
      <c r="L132" s="69">
        <v>3545.6643378884705</v>
      </c>
      <c r="M132" s="64">
        <v>0</v>
      </c>
      <c r="N132" s="67">
        <v>0</v>
      </c>
      <c r="O132" s="64">
        <f t="shared" si="4"/>
        <v>3545.6643378884705</v>
      </c>
      <c r="P132" s="64">
        <f t="shared" si="5"/>
        <v>30.831863807725831</v>
      </c>
    </row>
    <row r="133" spans="1:16" ht="15">
      <c r="A133" s="3" t="str">
        <f>"000660"</f>
        <v>000660</v>
      </c>
      <c r="B133" s="3" t="s">
        <v>2738</v>
      </c>
      <c r="C133" s="61" t="s">
        <v>3288</v>
      </c>
      <c r="D133" s="3" t="s">
        <v>3249</v>
      </c>
      <c r="E133" s="3">
        <v>1</v>
      </c>
      <c r="F133" s="3" t="s">
        <v>3220</v>
      </c>
      <c r="G133" s="9">
        <v>90</v>
      </c>
      <c r="H133" s="66">
        <v>2655</v>
      </c>
      <c r="I133" s="9">
        <v>97.373999999999995</v>
      </c>
      <c r="J133" s="10">
        <v>1.0819333333333332</v>
      </c>
      <c r="K133" s="66">
        <v>389.45994054813093</v>
      </c>
      <c r="L133" s="69">
        <v>3044.4599405481308</v>
      </c>
      <c r="M133" s="64">
        <v>0</v>
      </c>
      <c r="N133" s="67">
        <v>0</v>
      </c>
      <c r="O133" s="64">
        <f t="shared" si="4"/>
        <v>3044.4599405481308</v>
      </c>
      <c r="P133" s="64">
        <f t="shared" si="5"/>
        <v>33.827332672757009</v>
      </c>
    </row>
    <row r="134" spans="1:16" ht="15">
      <c r="A134" s="3" t="s">
        <v>1038</v>
      </c>
      <c r="B134" s="3" t="s">
        <v>1039</v>
      </c>
      <c r="C134" s="61" t="s">
        <v>3288</v>
      </c>
      <c r="D134" s="3" t="s">
        <v>3248</v>
      </c>
      <c r="E134" s="3">
        <v>1</v>
      </c>
      <c r="F134" s="3" t="s">
        <v>1904</v>
      </c>
      <c r="G134" s="9">
        <v>731.43927399999995</v>
      </c>
      <c r="H134" s="66">
        <v>21577.458583</v>
      </c>
      <c r="I134" s="9">
        <v>873.23826149581305</v>
      </c>
      <c r="J134" s="10">
        <v>1.1938629665322198</v>
      </c>
      <c r="K134" s="66">
        <v>7489.1544941557595</v>
      </c>
      <c r="L134" s="69">
        <v>29066.613077155758</v>
      </c>
      <c r="M134" s="64">
        <v>599472.14368039451</v>
      </c>
      <c r="N134" s="67">
        <v>12016.000497821464</v>
      </c>
      <c r="O134" s="64">
        <f t="shared" si="4"/>
        <v>41082.613574977222</v>
      </c>
      <c r="P134" s="64">
        <f t="shared" si="5"/>
        <v>56.166813890522953</v>
      </c>
    </row>
    <row r="135" spans="1:16" ht="15">
      <c r="A135" s="3" t="str">
        <f>"070656"</f>
        <v>070656</v>
      </c>
      <c r="B135" s="3" t="s">
        <v>2852</v>
      </c>
      <c r="C135" s="61" t="s">
        <v>3288</v>
      </c>
      <c r="D135" s="3" t="s">
        <v>3249</v>
      </c>
      <c r="E135" s="3">
        <v>1</v>
      </c>
      <c r="F135" s="3" t="s">
        <v>3220</v>
      </c>
      <c r="G135" s="9">
        <v>106</v>
      </c>
      <c r="H135" s="66">
        <v>3127</v>
      </c>
      <c r="I135" s="9">
        <v>127.9854</v>
      </c>
      <c r="J135" s="10">
        <v>1.2074094339622641</v>
      </c>
      <c r="K135" s="66">
        <v>1161.1652531769573</v>
      </c>
      <c r="L135" s="69">
        <v>4288.1652531769578</v>
      </c>
      <c r="M135" s="64">
        <v>0</v>
      </c>
      <c r="N135" s="67">
        <v>0</v>
      </c>
      <c r="O135" s="64">
        <f t="shared" si="4"/>
        <v>4288.1652531769578</v>
      </c>
      <c r="P135" s="64">
        <f t="shared" si="5"/>
        <v>40.454389180914696</v>
      </c>
    </row>
    <row r="136" spans="1:16" ht="15">
      <c r="A136" s="3" t="s">
        <v>789</v>
      </c>
      <c r="B136" s="3" t="s">
        <v>1737</v>
      </c>
      <c r="C136" s="61" t="s">
        <v>3288</v>
      </c>
      <c r="D136" s="3" t="s">
        <v>3248</v>
      </c>
      <c r="E136" s="3">
        <v>1</v>
      </c>
      <c r="F136" s="3" t="s">
        <v>1909</v>
      </c>
      <c r="G136" s="9">
        <v>7531.4406959999997</v>
      </c>
      <c r="H136" s="66">
        <v>222177.50053199998</v>
      </c>
      <c r="I136" s="9">
        <v>10796.9858300942</v>
      </c>
      <c r="J136" s="10">
        <v>1.4335883751734981</v>
      </c>
      <c r="K136" s="66">
        <v>172470.70976153598</v>
      </c>
      <c r="L136" s="69">
        <v>394648.21029353596</v>
      </c>
      <c r="M136" s="64">
        <v>1201007.3212592644</v>
      </c>
      <c r="N136" s="67">
        <v>24073.353069483939</v>
      </c>
      <c r="O136" s="64">
        <f t="shared" si="4"/>
        <v>418721.5633630199</v>
      </c>
      <c r="P136" s="64">
        <f t="shared" si="5"/>
        <v>55.596476194177008</v>
      </c>
    </row>
    <row r="137" spans="1:16" ht="15">
      <c r="A137" s="3" t="s">
        <v>50</v>
      </c>
      <c r="B137" s="3" t="s">
        <v>1767</v>
      </c>
      <c r="C137" s="61" t="s">
        <v>3288</v>
      </c>
      <c r="D137" s="3" t="s">
        <v>1684</v>
      </c>
      <c r="E137" s="3">
        <v>1</v>
      </c>
      <c r="F137" s="3" t="s">
        <v>3266</v>
      </c>
      <c r="G137" s="9">
        <v>147.731638</v>
      </c>
      <c r="H137" s="66">
        <v>4358.0833210000001</v>
      </c>
      <c r="I137" s="9">
        <v>215.44832133818099</v>
      </c>
      <c r="J137" s="10">
        <v>1.4583763116346207</v>
      </c>
      <c r="K137" s="66">
        <v>3576.4761956881739</v>
      </c>
      <c r="L137" s="69">
        <v>7934.559516688174</v>
      </c>
      <c r="M137" s="64">
        <v>0</v>
      </c>
      <c r="N137" s="67">
        <v>0</v>
      </c>
      <c r="O137" s="64">
        <f t="shared" si="4"/>
        <v>7934.559516688174</v>
      </c>
      <c r="P137" s="64">
        <f t="shared" si="5"/>
        <v>53.709277336302016</v>
      </c>
    </row>
    <row r="138" spans="1:16" ht="15">
      <c r="A138" s="3" t="s">
        <v>511</v>
      </c>
      <c r="B138" s="3" t="s">
        <v>512</v>
      </c>
      <c r="C138" s="61" t="s">
        <v>3288</v>
      </c>
      <c r="D138" s="3" t="s">
        <v>456</v>
      </c>
      <c r="E138" s="3">
        <v>1</v>
      </c>
      <c r="F138" s="3" t="s">
        <v>1897</v>
      </c>
      <c r="G138" s="9">
        <v>731.54388200000005</v>
      </c>
      <c r="H138" s="66">
        <v>21580.544519000003</v>
      </c>
      <c r="I138" s="9">
        <v>943.09087880330696</v>
      </c>
      <c r="J138" s="10">
        <v>1.2891788203121175</v>
      </c>
      <c r="K138" s="66">
        <v>11172.915757818228</v>
      </c>
      <c r="L138" s="69">
        <v>32753.46027681823</v>
      </c>
      <c r="M138" s="64">
        <v>0</v>
      </c>
      <c r="N138" s="67">
        <v>0</v>
      </c>
      <c r="O138" s="64">
        <f t="shared" si="4"/>
        <v>32753.46027681823</v>
      </c>
      <c r="P138" s="64">
        <f t="shared" si="5"/>
        <v>44.773062946370494</v>
      </c>
    </row>
    <row r="139" spans="1:16" ht="15">
      <c r="A139" s="3" t="s">
        <v>1032</v>
      </c>
      <c r="B139" s="3" t="s">
        <v>1033</v>
      </c>
      <c r="C139" s="61" t="s">
        <v>3288</v>
      </c>
      <c r="D139" s="3" t="s">
        <v>3248</v>
      </c>
      <c r="E139" s="3">
        <v>1</v>
      </c>
      <c r="F139" s="3" t="s">
        <v>1905</v>
      </c>
      <c r="G139" s="9">
        <v>2873.5191920000002</v>
      </c>
      <c r="H139" s="66">
        <v>84768.816164000003</v>
      </c>
      <c r="I139" s="9">
        <v>3538.4452936951402</v>
      </c>
      <c r="J139" s="10">
        <v>1.2313978286786191</v>
      </c>
      <c r="K139" s="66">
        <v>35118.264176171666</v>
      </c>
      <c r="L139" s="69">
        <v>119887.08034017167</v>
      </c>
      <c r="M139" s="64">
        <v>2181986.4476429024</v>
      </c>
      <c r="N139" s="67">
        <v>43736.394622358297</v>
      </c>
      <c r="O139" s="64">
        <f t="shared" si="4"/>
        <v>163623.47496252996</v>
      </c>
      <c r="P139" s="64">
        <f t="shared" si="5"/>
        <v>56.941841703394459</v>
      </c>
    </row>
    <row r="140" spans="1:16" ht="15">
      <c r="A140" s="3" t="s">
        <v>1042</v>
      </c>
      <c r="B140" s="3" t="s">
        <v>1043</v>
      </c>
      <c r="C140" s="61" t="s">
        <v>3285</v>
      </c>
      <c r="D140" s="3" t="s">
        <v>3248</v>
      </c>
      <c r="E140" s="3">
        <v>1</v>
      </c>
      <c r="F140" s="3" t="s">
        <v>1904</v>
      </c>
      <c r="G140" s="9">
        <v>2245.1697680000002</v>
      </c>
      <c r="H140" s="66">
        <v>66232.508156000011</v>
      </c>
      <c r="I140" s="9">
        <v>2879.2708564258101</v>
      </c>
      <c r="J140" s="10">
        <v>1.2824290160430354</v>
      </c>
      <c r="K140" s="66">
        <v>33490.232194171578</v>
      </c>
      <c r="L140" s="69">
        <v>99722.740350171589</v>
      </c>
      <c r="M140" s="64">
        <v>1771142.9674448485</v>
      </c>
      <c r="N140" s="67">
        <v>35501.323961229304</v>
      </c>
      <c r="O140" s="64">
        <f t="shared" si="4"/>
        <v>135224.0643114009</v>
      </c>
      <c r="P140" s="64">
        <f t="shared" si="5"/>
        <v>60.228881681343253</v>
      </c>
    </row>
    <row r="141" spans="1:16" ht="15">
      <c r="A141" s="3" t="s">
        <v>1044</v>
      </c>
      <c r="B141" s="3" t="s">
        <v>1045</v>
      </c>
      <c r="C141" s="61" t="s">
        <v>3285</v>
      </c>
      <c r="D141" s="3" t="s">
        <v>3248</v>
      </c>
      <c r="E141" s="3">
        <v>1</v>
      </c>
      <c r="F141" s="3" t="s">
        <v>3223</v>
      </c>
      <c r="G141" s="9">
        <v>1497.646804</v>
      </c>
      <c r="H141" s="66">
        <v>44180.580717999997</v>
      </c>
      <c r="I141" s="9">
        <v>1848.53924203374</v>
      </c>
      <c r="J141" s="10">
        <v>1.2342958547346121</v>
      </c>
      <c r="K141" s="66">
        <v>18532.485497072041</v>
      </c>
      <c r="L141" s="69">
        <v>62713.066215072038</v>
      </c>
      <c r="M141" s="64">
        <v>650450.94893886778</v>
      </c>
      <c r="N141" s="67">
        <v>13037.83504980482</v>
      </c>
      <c r="O141" s="64">
        <f t="shared" si="4"/>
        <v>75750.901264876855</v>
      </c>
      <c r="P141" s="64">
        <f t="shared" si="5"/>
        <v>50.579950534770319</v>
      </c>
    </row>
    <row r="142" spans="1:16" ht="15">
      <c r="A142" s="3" t="str">
        <f>"095158"</f>
        <v>095158</v>
      </c>
      <c r="B142" s="3" t="s">
        <v>2575</v>
      </c>
      <c r="C142" s="61" t="s">
        <v>3285</v>
      </c>
      <c r="D142" s="3" t="s">
        <v>3249</v>
      </c>
      <c r="E142" s="3">
        <v>1</v>
      </c>
      <c r="F142" s="3" t="s">
        <v>3220</v>
      </c>
      <c r="G142" s="9">
        <v>74</v>
      </c>
      <c r="H142" s="66">
        <v>2183</v>
      </c>
      <c r="I142" s="9">
        <v>74</v>
      </c>
      <c r="J142" s="10">
        <v>1</v>
      </c>
      <c r="K142" s="66">
        <v>0</v>
      </c>
      <c r="L142" s="69">
        <v>2183</v>
      </c>
      <c r="M142" s="64">
        <v>0</v>
      </c>
      <c r="N142" s="67">
        <v>0</v>
      </c>
      <c r="O142" s="64">
        <f t="shared" si="4"/>
        <v>2183</v>
      </c>
      <c r="P142" s="64">
        <f t="shared" si="5"/>
        <v>29.5</v>
      </c>
    </row>
    <row r="143" spans="1:16" ht="15">
      <c r="A143" s="19">
        <v>65912</v>
      </c>
      <c r="B143" s="20" t="s">
        <v>1954</v>
      </c>
      <c r="C143" s="61" t="s">
        <v>3285</v>
      </c>
      <c r="D143" s="19" t="s">
        <v>1973</v>
      </c>
      <c r="E143" s="19">
        <v>1</v>
      </c>
      <c r="F143" s="19" t="s">
        <v>1974</v>
      </c>
      <c r="G143" s="9">
        <v>39.79</v>
      </c>
      <c r="H143" s="66">
        <v>1173.8050000000001</v>
      </c>
      <c r="I143" s="9">
        <v>174.83743299999998</v>
      </c>
      <c r="J143" s="10">
        <v>4.3940043478260868</v>
      </c>
      <c r="K143" s="66">
        <v>7132.5691927526077</v>
      </c>
      <c r="L143" s="69">
        <v>8306.374192752608</v>
      </c>
      <c r="M143" s="64">
        <v>0</v>
      </c>
      <c r="N143" s="67">
        <v>0</v>
      </c>
      <c r="O143" s="64">
        <f t="shared" si="4"/>
        <v>8306.374192752608</v>
      </c>
      <c r="P143" s="64">
        <f t="shared" si="5"/>
        <v>208.75532025012839</v>
      </c>
    </row>
    <row r="144" spans="1:16" ht="15">
      <c r="A144" s="3" t="s">
        <v>1046</v>
      </c>
      <c r="B144" s="3" t="s">
        <v>1047</v>
      </c>
      <c r="C144" s="61" t="s">
        <v>3285</v>
      </c>
      <c r="D144" s="3" t="s">
        <v>3248</v>
      </c>
      <c r="E144" s="3">
        <v>1</v>
      </c>
      <c r="F144" s="3" t="s">
        <v>1904</v>
      </c>
      <c r="G144" s="9">
        <v>1427.975684</v>
      </c>
      <c r="H144" s="66">
        <v>42125.282678000003</v>
      </c>
      <c r="I144" s="9">
        <v>1754.4723119851801</v>
      </c>
      <c r="J144" s="10">
        <v>1.2286429885630883</v>
      </c>
      <c r="K144" s="66">
        <v>17244.013740747705</v>
      </c>
      <c r="L144" s="69">
        <v>59369.296418747705</v>
      </c>
      <c r="M144" s="64">
        <v>1968788.782468583</v>
      </c>
      <c r="N144" s="67">
        <v>39462.996303728833</v>
      </c>
      <c r="O144" s="64">
        <f t="shared" si="4"/>
        <v>98832.29272247653</v>
      </c>
      <c r="P144" s="64">
        <f t="shared" si="5"/>
        <v>69.211467554987109</v>
      </c>
    </row>
    <row r="145" spans="1:16" ht="15">
      <c r="A145" s="3" t="str">
        <f>"096156"</f>
        <v>096156</v>
      </c>
      <c r="B145" s="3" t="s">
        <v>3098</v>
      </c>
      <c r="C145" s="61" t="s">
        <v>3285</v>
      </c>
      <c r="D145" s="3" t="s">
        <v>3249</v>
      </c>
      <c r="E145" s="3">
        <v>1</v>
      </c>
      <c r="F145" s="3" t="s">
        <v>3220</v>
      </c>
      <c r="G145" s="9">
        <v>14</v>
      </c>
      <c r="H145" s="66">
        <v>413</v>
      </c>
      <c r="I145" s="9">
        <v>14</v>
      </c>
      <c r="J145" s="10">
        <v>1</v>
      </c>
      <c r="K145" s="66">
        <v>0</v>
      </c>
      <c r="L145" s="69">
        <v>413</v>
      </c>
      <c r="M145" s="64">
        <v>0</v>
      </c>
      <c r="N145" s="67">
        <v>0</v>
      </c>
      <c r="O145" s="64">
        <f t="shared" si="4"/>
        <v>413</v>
      </c>
      <c r="P145" s="64">
        <f t="shared" si="5"/>
        <v>29.5</v>
      </c>
    </row>
    <row r="146" spans="1:16" ht="15">
      <c r="A146" s="3" t="s">
        <v>1048</v>
      </c>
      <c r="B146" s="3" t="s">
        <v>1049</v>
      </c>
      <c r="C146" s="61" t="s">
        <v>3285</v>
      </c>
      <c r="D146" s="3" t="s">
        <v>3248</v>
      </c>
      <c r="E146" s="3">
        <v>1</v>
      </c>
      <c r="F146" s="3" t="s">
        <v>3223</v>
      </c>
      <c r="G146" s="9">
        <v>750.258195</v>
      </c>
      <c r="H146" s="66">
        <v>22132.616752499998</v>
      </c>
      <c r="I146" s="9">
        <v>958.87586222801497</v>
      </c>
      <c r="J146" s="10">
        <v>1.278061164300931</v>
      </c>
      <c r="K146" s="66">
        <v>11018.202369936605</v>
      </c>
      <c r="L146" s="69">
        <v>33150.819122436602</v>
      </c>
      <c r="M146" s="64">
        <v>669741.26681780862</v>
      </c>
      <c r="N146" s="67">
        <v>13424.496000909943</v>
      </c>
      <c r="O146" s="64">
        <f t="shared" si="4"/>
        <v>46575.315123346547</v>
      </c>
      <c r="P146" s="64">
        <f t="shared" si="5"/>
        <v>62.079048831111464</v>
      </c>
    </row>
    <row r="147" spans="1:16" ht="15">
      <c r="A147" s="3" t="s">
        <v>1050</v>
      </c>
      <c r="B147" s="3" t="s">
        <v>1051</v>
      </c>
      <c r="C147" s="61" t="s">
        <v>3285</v>
      </c>
      <c r="D147" s="3" t="s">
        <v>3248</v>
      </c>
      <c r="E147" s="3">
        <v>1</v>
      </c>
      <c r="F147" s="3" t="s">
        <v>1905</v>
      </c>
      <c r="G147" s="9">
        <v>2778.2183639999998</v>
      </c>
      <c r="H147" s="66">
        <v>81957.441737999994</v>
      </c>
      <c r="I147" s="9">
        <v>3608.24486411005</v>
      </c>
      <c r="J147" s="10">
        <v>1.298762153063808</v>
      </c>
      <c r="K147" s="66">
        <v>43838.089420427663</v>
      </c>
      <c r="L147" s="69">
        <v>125795.53115842765</v>
      </c>
      <c r="M147" s="64">
        <v>2131319.4168338515</v>
      </c>
      <c r="N147" s="67">
        <v>42720.809371495867</v>
      </c>
      <c r="O147" s="64">
        <f t="shared" si="4"/>
        <v>168516.3405299235</v>
      </c>
      <c r="P147" s="64">
        <f t="shared" si="5"/>
        <v>60.656261837999828</v>
      </c>
    </row>
    <row r="148" spans="1:16" ht="15">
      <c r="A148" s="3" t="s">
        <v>920</v>
      </c>
      <c r="B148" s="3" t="s">
        <v>921</v>
      </c>
      <c r="C148" s="61" t="s">
        <v>3285</v>
      </c>
      <c r="D148" s="3" t="s">
        <v>3248</v>
      </c>
      <c r="E148" s="3">
        <v>1</v>
      </c>
      <c r="F148" s="3" t="s">
        <v>1906</v>
      </c>
      <c r="G148" s="9">
        <v>6344.5793409999997</v>
      </c>
      <c r="H148" s="66">
        <v>187165.09055949998</v>
      </c>
      <c r="I148" s="9">
        <v>7355.2745094747597</v>
      </c>
      <c r="J148" s="10">
        <v>1.159300579936551</v>
      </c>
      <c r="K148" s="66">
        <v>53380.157340176767</v>
      </c>
      <c r="L148" s="69">
        <v>240545.24789967673</v>
      </c>
      <c r="M148" s="64">
        <v>4809409.5808635065</v>
      </c>
      <c r="N148" s="67">
        <v>96401.256550618957</v>
      </c>
      <c r="O148" s="64">
        <f t="shared" si="4"/>
        <v>336946.5044502957</v>
      </c>
      <c r="P148" s="64">
        <f t="shared" si="5"/>
        <v>53.107776944781328</v>
      </c>
    </row>
    <row r="149" spans="1:16" ht="15">
      <c r="A149" s="3" t="s">
        <v>930</v>
      </c>
      <c r="B149" s="3" t="s">
        <v>931</v>
      </c>
      <c r="C149" s="61" t="s">
        <v>3285</v>
      </c>
      <c r="D149" s="3" t="s">
        <v>3248</v>
      </c>
      <c r="E149" s="3">
        <v>1</v>
      </c>
      <c r="F149" s="3" t="s">
        <v>1904</v>
      </c>
      <c r="G149" s="9">
        <v>2301.9607639999999</v>
      </c>
      <c r="H149" s="66">
        <v>67907.842537999997</v>
      </c>
      <c r="I149" s="9">
        <v>2852.4875415879601</v>
      </c>
      <c r="J149" s="10">
        <v>1.2391555869229229</v>
      </c>
      <c r="K149" s="66">
        <v>29076.230820390731</v>
      </c>
      <c r="L149" s="69">
        <v>96984.073358390728</v>
      </c>
      <c r="M149" s="64">
        <v>1834499.8653636011</v>
      </c>
      <c r="N149" s="67">
        <v>36771.268736741738</v>
      </c>
      <c r="O149" s="64">
        <f t="shared" si="4"/>
        <v>133755.34209513245</v>
      </c>
      <c r="P149" s="64">
        <f t="shared" si="5"/>
        <v>58.104961729544257</v>
      </c>
    </row>
    <row r="150" spans="1:16" ht="15">
      <c r="A150" s="3" t="str">
        <f>"054312"</f>
        <v>054312</v>
      </c>
      <c r="B150" s="3" t="s">
        <v>2744</v>
      </c>
      <c r="C150" s="61" t="s">
        <v>3285</v>
      </c>
      <c r="D150" s="3" t="s">
        <v>3249</v>
      </c>
      <c r="E150" s="3">
        <v>1</v>
      </c>
      <c r="F150" s="3" t="s">
        <v>3220</v>
      </c>
      <c r="G150" s="9">
        <v>245</v>
      </c>
      <c r="H150" s="66">
        <v>7227.5</v>
      </c>
      <c r="I150" s="9">
        <v>254.97399999999999</v>
      </c>
      <c r="J150" s="10">
        <v>1.0407102040816325</v>
      </c>
      <c r="K150" s="66">
        <v>526.77969175848341</v>
      </c>
      <c r="L150" s="69">
        <v>7754.2796917584838</v>
      </c>
      <c r="M150" s="64">
        <v>0</v>
      </c>
      <c r="N150" s="67">
        <v>0</v>
      </c>
      <c r="O150" s="64">
        <f t="shared" si="4"/>
        <v>7754.2796917584838</v>
      </c>
      <c r="P150" s="64">
        <f t="shared" si="5"/>
        <v>31.650121190850953</v>
      </c>
    </row>
    <row r="151" spans="1:16" ht="15">
      <c r="A151" s="3" t="str">
        <f>"054817"</f>
        <v>054817</v>
      </c>
      <c r="B151" s="3" t="s">
        <v>2733</v>
      </c>
      <c r="C151" s="61" t="s">
        <v>3285</v>
      </c>
      <c r="D151" s="3" t="s">
        <v>3249</v>
      </c>
      <c r="E151" s="3">
        <v>1</v>
      </c>
      <c r="F151" s="3" t="s">
        <v>3220</v>
      </c>
      <c r="G151" s="9">
        <v>210</v>
      </c>
      <c r="H151" s="66">
        <v>6195</v>
      </c>
      <c r="I151" s="9">
        <v>221.18619999999999</v>
      </c>
      <c r="J151" s="10">
        <v>1.0532676190476189</v>
      </c>
      <c r="K151" s="66">
        <v>590.8023849958638</v>
      </c>
      <c r="L151" s="69">
        <v>6785.8023849958636</v>
      </c>
      <c r="M151" s="64">
        <v>0</v>
      </c>
      <c r="N151" s="67">
        <v>0</v>
      </c>
      <c r="O151" s="64">
        <f t="shared" si="4"/>
        <v>6785.8023849958636</v>
      </c>
      <c r="P151" s="64">
        <f t="shared" si="5"/>
        <v>32.313344690456496</v>
      </c>
    </row>
    <row r="152" spans="1:16" ht="15">
      <c r="A152" s="3" t="str">
        <f>"054965"</f>
        <v>054965</v>
      </c>
      <c r="B152" s="3" t="s">
        <v>2868</v>
      </c>
      <c r="C152" s="61" t="s">
        <v>3285</v>
      </c>
      <c r="D152" s="3" t="s">
        <v>3249</v>
      </c>
      <c r="E152" s="3">
        <v>1</v>
      </c>
      <c r="F152" s="3" t="s">
        <v>3220</v>
      </c>
      <c r="G152" s="9">
        <v>454</v>
      </c>
      <c r="H152" s="66">
        <v>13393</v>
      </c>
      <c r="I152" s="9">
        <v>471.96019999999999</v>
      </c>
      <c r="J152" s="10">
        <v>1.0395599118942731</v>
      </c>
      <c r="K152" s="66">
        <v>948.57315218775977</v>
      </c>
      <c r="L152" s="69">
        <v>14341.573152187761</v>
      </c>
      <c r="M152" s="64">
        <v>0</v>
      </c>
      <c r="N152" s="67">
        <v>0</v>
      </c>
      <c r="O152" s="64">
        <f t="shared" si="4"/>
        <v>14341.573152187761</v>
      </c>
      <c r="P152" s="64">
        <f t="shared" si="5"/>
        <v>31.589368176625022</v>
      </c>
    </row>
    <row r="153" spans="1:16" ht="15">
      <c r="A153" s="3" t="str">
        <f>"055244"</f>
        <v>055244</v>
      </c>
      <c r="B153" s="3" t="s">
        <v>2674</v>
      </c>
      <c r="C153" s="61" t="s">
        <v>3285</v>
      </c>
      <c r="D153" s="3" t="s">
        <v>3249</v>
      </c>
      <c r="E153" s="3">
        <v>1</v>
      </c>
      <c r="F153" s="3" t="s">
        <v>3220</v>
      </c>
      <c r="G153" s="9">
        <v>123</v>
      </c>
      <c r="H153" s="66">
        <v>3628.5</v>
      </c>
      <c r="I153" s="9">
        <v>135.92359999999999</v>
      </c>
      <c r="J153" s="10">
        <v>1.105069918699187</v>
      </c>
      <c r="K153" s="66">
        <v>682.56366797773615</v>
      </c>
      <c r="L153" s="69">
        <v>4311.0636679777363</v>
      </c>
      <c r="M153" s="64">
        <v>0</v>
      </c>
      <c r="N153" s="67">
        <v>0</v>
      </c>
      <c r="O153" s="64">
        <f t="shared" si="4"/>
        <v>4311.0636679777363</v>
      </c>
      <c r="P153" s="64">
        <f t="shared" si="5"/>
        <v>35.049298113640134</v>
      </c>
    </row>
    <row r="154" spans="1:16" ht="15">
      <c r="A154" s="3" t="str">
        <f>"132704"</f>
        <v>132704</v>
      </c>
      <c r="B154" s="3" t="s">
        <v>3046</v>
      </c>
      <c r="C154" s="61" t="s">
        <v>3285</v>
      </c>
      <c r="D154" s="3" t="s">
        <v>3249</v>
      </c>
      <c r="E154" s="3">
        <v>1</v>
      </c>
      <c r="F154" s="3" t="s">
        <v>3220</v>
      </c>
      <c r="G154" s="9">
        <v>71</v>
      </c>
      <c r="H154" s="66">
        <v>2094.5</v>
      </c>
      <c r="I154" s="9">
        <v>71</v>
      </c>
      <c r="J154" s="10">
        <v>1</v>
      </c>
      <c r="K154" s="66">
        <v>0</v>
      </c>
      <c r="L154" s="69">
        <v>2094.5</v>
      </c>
      <c r="M154" s="64">
        <v>0</v>
      </c>
      <c r="N154" s="67">
        <v>0</v>
      </c>
      <c r="O154" s="64">
        <f t="shared" si="4"/>
        <v>2094.5</v>
      </c>
      <c r="P154" s="64">
        <f t="shared" si="5"/>
        <v>29.5</v>
      </c>
    </row>
    <row r="155" spans="1:16" ht="15">
      <c r="A155" s="3" t="str">
        <f>"055590"</f>
        <v>055590</v>
      </c>
      <c r="B155" s="3" t="s">
        <v>2742</v>
      </c>
      <c r="C155" s="61" t="s">
        <v>3285</v>
      </c>
      <c r="D155" s="3" t="s">
        <v>3249</v>
      </c>
      <c r="E155" s="3">
        <v>1</v>
      </c>
      <c r="F155" s="3" t="s">
        <v>3220</v>
      </c>
      <c r="G155" s="9">
        <v>212</v>
      </c>
      <c r="H155" s="66">
        <v>6254</v>
      </c>
      <c r="I155" s="9">
        <v>222.774</v>
      </c>
      <c r="J155" s="10">
        <v>1.0508207547169812</v>
      </c>
      <c r="K155" s="66">
        <v>569.03192290013101</v>
      </c>
      <c r="L155" s="69">
        <v>6823.0319229001307</v>
      </c>
      <c r="M155" s="64">
        <v>0</v>
      </c>
      <c r="N155" s="67">
        <v>0</v>
      </c>
      <c r="O155" s="64">
        <f t="shared" si="4"/>
        <v>6823.0319229001307</v>
      </c>
      <c r="P155" s="64">
        <f t="shared" si="5"/>
        <v>32.18411284386854</v>
      </c>
    </row>
    <row r="156" spans="1:16" ht="15">
      <c r="A156" s="3" t="str">
        <f>"068056"</f>
        <v>068056</v>
      </c>
      <c r="B156" s="3" t="s">
        <v>2746</v>
      </c>
      <c r="C156" s="61" t="s">
        <v>3285</v>
      </c>
      <c r="D156" s="3" t="s">
        <v>3249</v>
      </c>
      <c r="E156" s="3">
        <v>1</v>
      </c>
      <c r="F156" s="3" t="s">
        <v>3220</v>
      </c>
      <c r="G156" s="9">
        <v>361</v>
      </c>
      <c r="H156" s="66">
        <v>10649.5</v>
      </c>
      <c r="I156" s="9">
        <v>369.47400000000005</v>
      </c>
      <c r="J156" s="10">
        <v>1.0234736842105265</v>
      </c>
      <c r="K156" s="66">
        <v>447.55675836789828</v>
      </c>
      <c r="L156" s="69">
        <v>11097.056758367899</v>
      </c>
      <c r="M156" s="64">
        <v>0</v>
      </c>
      <c r="N156" s="67">
        <v>0</v>
      </c>
      <c r="O156" s="64">
        <f t="shared" si="4"/>
        <v>11097.056758367899</v>
      </c>
      <c r="P156" s="64">
        <f t="shared" si="5"/>
        <v>30.739769413761493</v>
      </c>
    </row>
    <row r="157" spans="1:16" ht="15">
      <c r="A157" s="3" t="s">
        <v>534</v>
      </c>
      <c r="B157" s="3" t="s">
        <v>535</v>
      </c>
      <c r="C157" s="61" t="s">
        <v>3285</v>
      </c>
      <c r="D157" s="3" t="s">
        <v>456</v>
      </c>
      <c r="E157" s="3">
        <v>1</v>
      </c>
      <c r="F157" s="3" t="s">
        <v>1897</v>
      </c>
      <c r="G157" s="9">
        <v>329.18889799999999</v>
      </c>
      <c r="H157" s="66">
        <v>9711.072490999999</v>
      </c>
      <c r="I157" s="9">
        <v>420.22228428675697</v>
      </c>
      <c r="J157" s="10">
        <v>1.2765384459799036</v>
      </c>
      <c r="K157" s="66">
        <v>4807.9545987436177</v>
      </c>
      <c r="L157" s="69">
        <v>14519.027089743617</v>
      </c>
      <c r="M157" s="64">
        <v>0</v>
      </c>
      <c r="N157" s="67">
        <v>0</v>
      </c>
      <c r="O157" s="64">
        <f t="shared" si="4"/>
        <v>14519.027089743617</v>
      </c>
      <c r="P157" s="64">
        <f t="shared" si="5"/>
        <v>44.105457923868428</v>
      </c>
    </row>
    <row r="158" spans="1:16" ht="15">
      <c r="A158" s="3" t="s">
        <v>1052</v>
      </c>
      <c r="B158" s="3" t="s">
        <v>1053</v>
      </c>
      <c r="C158" s="61" t="s">
        <v>3285</v>
      </c>
      <c r="D158" s="3" t="s">
        <v>3248</v>
      </c>
      <c r="E158" s="3">
        <v>1</v>
      </c>
      <c r="F158" s="3" t="s">
        <v>1906</v>
      </c>
      <c r="G158" s="9">
        <v>7976.2658659999997</v>
      </c>
      <c r="H158" s="66">
        <v>235299.843047</v>
      </c>
      <c r="I158" s="9">
        <v>9586.2820453283693</v>
      </c>
      <c r="J158" s="10">
        <v>1.2018508668562942</v>
      </c>
      <c r="K158" s="66">
        <v>85033.46968846707</v>
      </c>
      <c r="L158" s="69">
        <v>320333.3127354671</v>
      </c>
      <c r="M158" s="64">
        <v>4315508.7927621799</v>
      </c>
      <c r="N158" s="67">
        <v>86501.360152990805</v>
      </c>
      <c r="O158" s="64">
        <f t="shared" si="4"/>
        <v>406834.67288845789</v>
      </c>
      <c r="P158" s="64">
        <f t="shared" si="5"/>
        <v>51.005655995326109</v>
      </c>
    </row>
    <row r="159" spans="1:16" ht="15">
      <c r="A159" s="3" t="s">
        <v>1054</v>
      </c>
      <c r="B159" s="3" t="s">
        <v>1055</v>
      </c>
      <c r="C159" s="61" t="s">
        <v>3285</v>
      </c>
      <c r="D159" s="3" t="s">
        <v>3248</v>
      </c>
      <c r="E159" s="3">
        <v>1</v>
      </c>
      <c r="F159" s="3" t="s">
        <v>3223</v>
      </c>
      <c r="G159" s="9">
        <v>996.53043400000001</v>
      </c>
      <c r="H159" s="66">
        <v>29397.647803</v>
      </c>
      <c r="I159" s="9">
        <v>1189.52309481322</v>
      </c>
      <c r="J159" s="10">
        <v>1.1936645929001501</v>
      </c>
      <c r="K159" s="66">
        <v>10192.963141652064</v>
      </c>
      <c r="L159" s="69">
        <v>39590.610944652064</v>
      </c>
      <c r="M159" s="64">
        <v>659694.62463764194</v>
      </c>
      <c r="N159" s="67">
        <v>13223.118074160642</v>
      </c>
      <c r="O159" s="64">
        <f t="shared" si="4"/>
        <v>52813.729018812708</v>
      </c>
      <c r="P159" s="64">
        <f t="shared" si="5"/>
        <v>52.997607716627655</v>
      </c>
    </row>
    <row r="160" spans="1:16" ht="15">
      <c r="A160" s="3" t="s">
        <v>1056</v>
      </c>
      <c r="B160" s="3" t="s">
        <v>1057</v>
      </c>
      <c r="C160" s="61" t="s">
        <v>3317</v>
      </c>
      <c r="D160" s="3" t="s">
        <v>3248</v>
      </c>
      <c r="E160" s="3">
        <v>1</v>
      </c>
      <c r="F160" s="3" t="s">
        <v>3223</v>
      </c>
      <c r="G160" s="9">
        <v>1460.423781</v>
      </c>
      <c r="H160" s="66">
        <v>43082.501539500001</v>
      </c>
      <c r="I160" s="9">
        <v>1766.3983366856601</v>
      </c>
      <c r="J160" s="10">
        <v>1.2095108006774236</v>
      </c>
      <c r="K160" s="66">
        <v>16160.134562866566</v>
      </c>
      <c r="L160" s="69">
        <v>59242.636102366567</v>
      </c>
      <c r="M160" s="64">
        <v>1343137.1396521011</v>
      </c>
      <c r="N160" s="67">
        <v>26922.246027342753</v>
      </c>
      <c r="O160" s="64">
        <f t="shared" si="4"/>
        <v>86164.882129709324</v>
      </c>
      <c r="P160" s="64">
        <f t="shared" si="5"/>
        <v>58.999917182058901</v>
      </c>
    </row>
    <row r="161" spans="1:16" ht="15">
      <c r="A161" s="3" t="s">
        <v>1058</v>
      </c>
      <c r="B161" s="3" t="s">
        <v>1059</v>
      </c>
      <c r="C161" s="61" t="s">
        <v>3317</v>
      </c>
      <c r="D161" s="3" t="s">
        <v>3248</v>
      </c>
      <c r="E161" s="3">
        <v>1</v>
      </c>
      <c r="F161" s="3" t="s">
        <v>3224</v>
      </c>
      <c r="G161" s="9">
        <v>1650.196314</v>
      </c>
      <c r="H161" s="66">
        <v>48680.791262999999</v>
      </c>
      <c r="I161" s="9">
        <v>1892.8813402762401</v>
      </c>
      <c r="J161" s="10">
        <v>1.1470643366594262</v>
      </c>
      <c r="K161" s="66">
        <v>12817.479781050462</v>
      </c>
      <c r="L161" s="69">
        <v>61498.27104405046</v>
      </c>
      <c r="M161" s="64">
        <v>1961698.1523700561</v>
      </c>
      <c r="N161" s="67">
        <v>39320.869574919248</v>
      </c>
      <c r="O161" s="64">
        <f t="shared" si="4"/>
        <v>100819.14061896972</v>
      </c>
      <c r="P161" s="64">
        <f t="shared" si="5"/>
        <v>61.09524046541393</v>
      </c>
    </row>
    <row r="162" spans="1:16" ht="15">
      <c r="A162" s="3" t="s">
        <v>1060</v>
      </c>
      <c r="B162" s="3" t="s">
        <v>1061</v>
      </c>
      <c r="C162" s="61" t="s">
        <v>3317</v>
      </c>
      <c r="D162" s="3" t="s">
        <v>3248</v>
      </c>
      <c r="E162" s="3">
        <v>1</v>
      </c>
      <c r="F162" s="3" t="s">
        <v>3224</v>
      </c>
      <c r="G162" s="9">
        <v>1235.5719389999999</v>
      </c>
      <c r="H162" s="66">
        <v>36449.372200499995</v>
      </c>
      <c r="I162" s="9">
        <v>1563.66720020614</v>
      </c>
      <c r="J162" s="10">
        <v>1.2655412047247376</v>
      </c>
      <c r="K162" s="66">
        <v>17328.446016201098</v>
      </c>
      <c r="L162" s="69">
        <v>53777.818216701096</v>
      </c>
      <c r="M162" s="64">
        <v>1030096.7026646906</v>
      </c>
      <c r="N162" s="67">
        <v>20647.569069735204</v>
      </c>
      <c r="O162" s="64">
        <f t="shared" si="4"/>
        <v>74425.387286436307</v>
      </c>
      <c r="P162" s="64">
        <f t="shared" si="5"/>
        <v>60.235575879678755</v>
      </c>
    </row>
    <row r="163" spans="1:16" ht="15">
      <c r="A163" s="3" t="str">
        <f>"010608"</f>
        <v>010608</v>
      </c>
      <c r="B163" s="3" t="s">
        <v>3196</v>
      </c>
      <c r="C163" s="61" t="s">
        <v>3317</v>
      </c>
      <c r="D163" s="3" t="s">
        <v>3249</v>
      </c>
      <c r="E163" s="3">
        <v>1</v>
      </c>
      <c r="F163" s="3" t="s">
        <v>3220</v>
      </c>
      <c r="G163" s="9">
        <v>207</v>
      </c>
      <c r="H163" s="66">
        <v>6106.5</v>
      </c>
      <c r="I163" s="9">
        <v>207</v>
      </c>
      <c r="J163" s="10">
        <v>1</v>
      </c>
      <c r="K163" s="66">
        <v>0</v>
      </c>
      <c r="L163" s="69">
        <v>6106.5</v>
      </c>
      <c r="M163" s="64">
        <v>0</v>
      </c>
      <c r="N163" s="67">
        <v>0</v>
      </c>
      <c r="O163" s="64">
        <f t="shared" si="4"/>
        <v>6106.5</v>
      </c>
      <c r="P163" s="64">
        <f t="shared" si="5"/>
        <v>29.5</v>
      </c>
    </row>
    <row r="164" spans="1:16" ht="15">
      <c r="A164" s="3" t="s">
        <v>844</v>
      </c>
      <c r="B164" s="3" t="s">
        <v>845</v>
      </c>
      <c r="C164" s="61" t="s">
        <v>3317</v>
      </c>
      <c r="D164" s="3" t="s">
        <v>3248</v>
      </c>
      <c r="E164" s="3">
        <v>1</v>
      </c>
      <c r="F164" s="3" t="s">
        <v>1905</v>
      </c>
      <c r="G164" s="9">
        <v>2720.2983899999999</v>
      </c>
      <c r="H164" s="66">
        <v>80248.802505</v>
      </c>
      <c r="I164" s="9">
        <v>3313.4871353147601</v>
      </c>
      <c r="J164" s="10">
        <v>1.2180601758598844</v>
      </c>
      <c r="K164" s="66">
        <v>31329.434972078525</v>
      </c>
      <c r="L164" s="69">
        <v>111578.23747707852</v>
      </c>
      <c r="M164" s="64">
        <v>2019500.7136378922</v>
      </c>
      <c r="N164" s="67">
        <v>40479.481550957906</v>
      </c>
      <c r="O164" s="64">
        <f t="shared" si="4"/>
        <v>152057.71902803643</v>
      </c>
      <c r="P164" s="64">
        <f t="shared" si="5"/>
        <v>55.897441099480424</v>
      </c>
    </row>
    <row r="165" spans="1:16" ht="15">
      <c r="A165" s="3" t="s">
        <v>1062</v>
      </c>
      <c r="B165" s="3" t="s">
        <v>1063</v>
      </c>
      <c r="C165" s="61" t="s">
        <v>3334</v>
      </c>
      <c r="D165" s="3" t="s">
        <v>3248</v>
      </c>
      <c r="E165" s="3">
        <v>1</v>
      </c>
      <c r="F165" s="3" t="s">
        <v>3223</v>
      </c>
      <c r="G165" s="9">
        <v>1721.8320590000001</v>
      </c>
      <c r="H165" s="66">
        <v>50794.045740500005</v>
      </c>
      <c r="I165" s="9">
        <v>2033.42842546216</v>
      </c>
      <c r="J165" s="10">
        <v>1.1809679200903762</v>
      </c>
      <c r="K165" s="66">
        <v>16457.052123320656</v>
      </c>
      <c r="L165" s="69">
        <v>67251.097863820658</v>
      </c>
      <c r="M165" s="64">
        <v>2224827.1753139291</v>
      </c>
      <c r="N165" s="67">
        <v>44595.10709206821</v>
      </c>
      <c r="O165" s="64">
        <f t="shared" si="4"/>
        <v>111846.20495588887</v>
      </c>
      <c r="P165" s="64">
        <f t="shared" si="5"/>
        <v>64.957673642600511</v>
      </c>
    </row>
    <row r="166" spans="1:16" ht="15">
      <c r="A166" s="3" t="s">
        <v>48</v>
      </c>
      <c r="B166" s="61" t="s">
        <v>1765</v>
      </c>
      <c r="C166" s="61" t="s">
        <v>3334</v>
      </c>
      <c r="D166" s="3" t="s">
        <v>1684</v>
      </c>
      <c r="E166" s="3">
        <v>1</v>
      </c>
      <c r="F166" s="3" t="s">
        <v>3267</v>
      </c>
      <c r="G166" s="9">
        <v>573.87287500000002</v>
      </c>
      <c r="H166" s="66">
        <v>3385.8499625000004</v>
      </c>
      <c r="I166" s="9">
        <v>822.98659654627897</v>
      </c>
      <c r="J166" s="10">
        <v>1.4340921698839293</v>
      </c>
      <c r="K166" s="66">
        <v>0</v>
      </c>
      <c r="L166" s="69">
        <v>3385.8499625000004</v>
      </c>
      <c r="M166" s="64">
        <v>0</v>
      </c>
      <c r="N166" s="67">
        <v>0</v>
      </c>
      <c r="O166" s="64">
        <f t="shared" si="4"/>
        <v>3385.8499625000004</v>
      </c>
      <c r="P166" s="64">
        <f t="shared" si="5"/>
        <v>5.9</v>
      </c>
    </row>
    <row r="167" spans="1:16" ht="15">
      <c r="A167" s="3" t="s">
        <v>464</v>
      </c>
      <c r="B167" s="3" t="s">
        <v>465</v>
      </c>
      <c r="C167" s="61" t="s">
        <v>3334</v>
      </c>
      <c r="D167" s="3" t="s">
        <v>456</v>
      </c>
      <c r="E167" s="3">
        <v>1</v>
      </c>
      <c r="F167" s="3" t="s">
        <v>1897</v>
      </c>
      <c r="G167" s="9">
        <v>324.987754</v>
      </c>
      <c r="H167" s="66">
        <v>9587.1387429999995</v>
      </c>
      <c r="I167" s="9">
        <v>418.76267819893502</v>
      </c>
      <c r="J167" s="10">
        <v>1.2885491008345349</v>
      </c>
      <c r="K167" s="66">
        <v>4952.7497156797863</v>
      </c>
      <c r="L167" s="69">
        <v>14539.888458679787</v>
      </c>
      <c r="M167" s="64">
        <v>0</v>
      </c>
      <c r="N167" s="67">
        <v>0</v>
      </c>
      <c r="O167" s="64">
        <f t="shared" si="4"/>
        <v>14539.888458679787</v>
      </c>
      <c r="P167" s="64">
        <f t="shared" si="5"/>
        <v>44.739804130218971</v>
      </c>
    </row>
    <row r="168" spans="1:16" ht="15">
      <c r="A168" s="19">
        <v>65920</v>
      </c>
      <c r="B168" s="20" t="s">
        <v>1953</v>
      </c>
      <c r="C168" s="61" t="s">
        <v>3334</v>
      </c>
      <c r="D168" s="19" t="s">
        <v>1973</v>
      </c>
      <c r="E168" s="19">
        <v>1</v>
      </c>
      <c r="F168" s="19" t="s">
        <v>1974</v>
      </c>
      <c r="G168" s="9">
        <v>47.91</v>
      </c>
      <c r="H168" s="66">
        <v>1413.3449999999998</v>
      </c>
      <c r="I168" s="9">
        <v>225.59475300000003</v>
      </c>
      <c r="J168" s="10">
        <v>4.7087195366311843</v>
      </c>
      <c r="K168" s="66">
        <v>9384.4715676280703</v>
      </c>
      <c r="L168" s="69">
        <v>10797.81656762807</v>
      </c>
      <c r="M168" s="64">
        <v>0</v>
      </c>
      <c r="N168" s="67">
        <v>0</v>
      </c>
      <c r="O168" s="64">
        <f t="shared" si="4"/>
        <v>10797.81656762807</v>
      </c>
      <c r="P168" s="64">
        <f t="shared" si="5"/>
        <v>225.37709387660342</v>
      </c>
    </row>
    <row r="169" spans="1:16" ht="15">
      <c r="A169" s="3" t="s">
        <v>884</v>
      </c>
      <c r="B169" s="3" t="s">
        <v>885</v>
      </c>
      <c r="C169" s="61" t="s">
        <v>3334</v>
      </c>
      <c r="D169" s="3" t="s">
        <v>3248</v>
      </c>
      <c r="E169" s="3">
        <v>1</v>
      </c>
      <c r="F169" s="3" t="s">
        <v>1905</v>
      </c>
      <c r="G169" s="9">
        <v>1060.2176919999999</v>
      </c>
      <c r="H169" s="66">
        <v>31276.421913999999</v>
      </c>
      <c r="I169" s="9">
        <v>1240.75196548496</v>
      </c>
      <c r="J169" s="10">
        <v>1.1702803818944008</v>
      </c>
      <c r="K169" s="66">
        <v>9534.969815344808</v>
      </c>
      <c r="L169" s="69">
        <v>40811.391729344803</v>
      </c>
      <c r="M169" s="64">
        <v>513422.79167989956</v>
      </c>
      <c r="N169" s="67">
        <v>10291.201326792065</v>
      </c>
      <c r="O169" s="64">
        <f t="shared" si="4"/>
        <v>51102.593056136866</v>
      </c>
      <c r="P169" s="64">
        <f t="shared" si="5"/>
        <v>48.200094604851081</v>
      </c>
    </row>
    <row r="170" spans="1:16" ht="15">
      <c r="A170" s="3" t="s">
        <v>1064</v>
      </c>
      <c r="B170" s="3" t="s">
        <v>1065</v>
      </c>
      <c r="C170" s="61" t="s">
        <v>3334</v>
      </c>
      <c r="D170" s="3" t="s">
        <v>3248</v>
      </c>
      <c r="E170" s="3">
        <v>1</v>
      </c>
      <c r="F170" s="3" t="s">
        <v>3224</v>
      </c>
      <c r="G170" s="9">
        <v>1203.9927150000001</v>
      </c>
      <c r="H170" s="66">
        <v>35517.785092500002</v>
      </c>
      <c r="I170" s="9">
        <v>1396.4016679638301</v>
      </c>
      <c r="J170" s="10">
        <v>1.1598090674193406</v>
      </c>
      <c r="K170" s="66">
        <v>10162.134442937537</v>
      </c>
      <c r="L170" s="69">
        <v>45679.919535437541</v>
      </c>
      <c r="M170" s="64">
        <v>796899.20411268249</v>
      </c>
      <c r="N170" s="67">
        <v>15973.288057295742</v>
      </c>
      <c r="O170" s="64">
        <f t="shared" si="4"/>
        <v>61653.207592733284</v>
      </c>
      <c r="P170" s="64">
        <f t="shared" si="5"/>
        <v>51.207292888589677</v>
      </c>
    </row>
    <row r="171" spans="1:16" ht="15">
      <c r="A171" s="3" t="str">
        <f>"070151"</f>
        <v>070151</v>
      </c>
      <c r="B171" s="3" t="s">
        <v>2710</v>
      </c>
      <c r="C171" s="61" t="s">
        <v>3334</v>
      </c>
      <c r="D171" s="3" t="s">
        <v>3249</v>
      </c>
      <c r="E171" s="3">
        <v>1</v>
      </c>
      <c r="F171" s="3" t="s">
        <v>3220</v>
      </c>
      <c r="G171" s="9">
        <v>102</v>
      </c>
      <c r="H171" s="66">
        <v>3009</v>
      </c>
      <c r="I171" s="9">
        <v>112.1618</v>
      </c>
      <c r="J171" s="10">
        <v>1.0996254901960785</v>
      </c>
      <c r="K171" s="66">
        <v>536.69840301898557</v>
      </c>
      <c r="L171" s="69">
        <v>3545.6984030189856</v>
      </c>
      <c r="M171" s="64">
        <v>0</v>
      </c>
      <c r="N171" s="67">
        <v>0</v>
      </c>
      <c r="O171" s="64">
        <f t="shared" si="4"/>
        <v>3545.6984030189856</v>
      </c>
      <c r="P171" s="64">
        <f t="shared" si="5"/>
        <v>34.76174904920574</v>
      </c>
    </row>
    <row r="172" spans="1:16" ht="15">
      <c r="A172" s="3" t="s">
        <v>623</v>
      </c>
      <c r="B172" s="3" t="s">
        <v>624</v>
      </c>
      <c r="C172" s="61" t="s">
        <v>3334</v>
      </c>
      <c r="D172" s="3" t="s">
        <v>3248</v>
      </c>
      <c r="E172" s="3">
        <v>1</v>
      </c>
      <c r="F172" s="3" t="s">
        <v>1905</v>
      </c>
      <c r="G172" s="9">
        <v>2128.8780099999999</v>
      </c>
      <c r="H172" s="66">
        <v>62801.901294999996</v>
      </c>
      <c r="I172" s="9">
        <v>2942.4243855261002</v>
      </c>
      <c r="J172" s="10">
        <v>1.3821479538539179</v>
      </c>
      <c r="K172" s="66">
        <v>42967.686878972425</v>
      </c>
      <c r="L172" s="69">
        <v>105769.58817397241</v>
      </c>
      <c r="M172" s="64">
        <v>1242443.5725994483</v>
      </c>
      <c r="N172" s="67">
        <v>24903.913791913372</v>
      </c>
      <c r="O172" s="64">
        <f t="shared" si="4"/>
        <v>130673.50196588578</v>
      </c>
      <c r="P172" s="64">
        <f t="shared" si="5"/>
        <v>61.381394965832627</v>
      </c>
    </row>
    <row r="173" spans="1:16" ht="15">
      <c r="A173" s="3" t="s">
        <v>625</v>
      </c>
      <c r="B173" s="3" t="s">
        <v>626</v>
      </c>
      <c r="C173" s="61" t="s">
        <v>3334</v>
      </c>
      <c r="D173" s="3" t="s">
        <v>3248</v>
      </c>
      <c r="E173" s="3">
        <v>1</v>
      </c>
      <c r="F173" s="3" t="s">
        <v>3223</v>
      </c>
      <c r="G173" s="9">
        <v>1068.344126</v>
      </c>
      <c r="H173" s="66">
        <v>31516.151717000001</v>
      </c>
      <c r="I173" s="9">
        <v>1362.0827251959099</v>
      </c>
      <c r="J173" s="10">
        <v>1.2749475492467957</v>
      </c>
      <c r="K173" s="66">
        <v>15513.888985561493</v>
      </c>
      <c r="L173" s="69">
        <v>47030.040702561491</v>
      </c>
      <c r="M173" s="64">
        <v>588801.3312753957</v>
      </c>
      <c r="N173" s="67">
        <v>11802.111514784774</v>
      </c>
      <c r="O173" s="64">
        <f t="shared" si="4"/>
        <v>58832.152217346265</v>
      </c>
      <c r="P173" s="64">
        <f t="shared" si="5"/>
        <v>55.068540918196867</v>
      </c>
    </row>
    <row r="174" spans="1:16" ht="15">
      <c r="A174" s="3" t="str">
        <f>"125278"</f>
        <v>125278</v>
      </c>
      <c r="B174" s="3" t="s">
        <v>3057</v>
      </c>
      <c r="C174" s="61" t="s">
        <v>3334</v>
      </c>
      <c r="D174" s="3" t="s">
        <v>3249</v>
      </c>
      <c r="E174" s="3">
        <v>1</v>
      </c>
      <c r="F174" s="3" t="s">
        <v>3220</v>
      </c>
      <c r="G174" s="9">
        <v>313</v>
      </c>
      <c r="H174" s="66">
        <v>9233.5</v>
      </c>
      <c r="I174" s="9">
        <v>313</v>
      </c>
      <c r="J174" s="10">
        <v>1</v>
      </c>
      <c r="K174" s="66">
        <v>0</v>
      </c>
      <c r="L174" s="69">
        <v>9233.5</v>
      </c>
      <c r="M174" s="64">
        <v>0</v>
      </c>
      <c r="N174" s="67">
        <v>0</v>
      </c>
      <c r="O174" s="64">
        <f t="shared" si="4"/>
        <v>9233.5</v>
      </c>
      <c r="P174" s="64">
        <f t="shared" si="5"/>
        <v>29.5</v>
      </c>
    </row>
    <row r="175" spans="1:16" ht="15">
      <c r="A175" s="3" t="s">
        <v>908</v>
      </c>
      <c r="B175" s="3" t="s">
        <v>909</v>
      </c>
      <c r="C175" s="61" t="s">
        <v>3334</v>
      </c>
      <c r="D175" s="3" t="s">
        <v>3248</v>
      </c>
      <c r="E175" s="3">
        <v>1</v>
      </c>
      <c r="F175" s="3" t="s">
        <v>3223</v>
      </c>
      <c r="G175" s="9">
        <v>614.91913999999997</v>
      </c>
      <c r="H175" s="66">
        <v>18140.11463</v>
      </c>
      <c r="I175" s="9">
        <v>832.36892056022896</v>
      </c>
      <c r="J175" s="10">
        <v>1.3536233732458369</v>
      </c>
      <c r="K175" s="66">
        <v>11484.672987414016</v>
      </c>
      <c r="L175" s="69">
        <v>29624.787617414018</v>
      </c>
      <c r="M175" s="64">
        <v>342820.70872049761</v>
      </c>
      <c r="N175" s="67">
        <v>6871.6017083943243</v>
      </c>
      <c r="O175" s="64">
        <f t="shared" si="4"/>
        <v>36496.389325808341</v>
      </c>
      <c r="P175" s="64">
        <f t="shared" si="5"/>
        <v>59.351526000326388</v>
      </c>
    </row>
    <row r="176" spans="1:16" ht="15">
      <c r="A176" s="3" t="s">
        <v>910</v>
      </c>
      <c r="B176" s="3" t="s">
        <v>911</v>
      </c>
      <c r="C176" s="61" t="s">
        <v>3334</v>
      </c>
      <c r="D176" s="3" t="s">
        <v>3248</v>
      </c>
      <c r="E176" s="3">
        <v>1</v>
      </c>
      <c r="F176" s="3" t="s">
        <v>3223</v>
      </c>
      <c r="G176" s="9">
        <v>855.72788200000002</v>
      </c>
      <c r="H176" s="66">
        <v>25243.972518999999</v>
      </c>
      <c r="I176" s="9">
        <v>1089.4719443322299</v>
      </c>
      <c r="J176" s="10">
        <v>1.2731523270995042</v>
      </c>
      <c r="K176" s="66">
        <v>12345.260187061151</v>
      </c>
      <c r="L176" s="69">
        <v>37589.23270606115</v>
      </c>
      <c r="M176" s="64">
        <v>313233.32123117952</v>
      </c>
      <c r="N176" s="67">
        <v>6278.5431875793392</v>
      </c>
      <c r="O176" s="64">
        <f t="shared" si="4"/>
        <v>43867.775893640486</v>
      </c>
      <c r="P176" s="64">
        <f t="shared" si="5"/>
        <v>51.263698211063414</v>
      </c>
    </row>
    <row r="177" spans="1:16" ht="15">
      <c r="A177" s="3" t="s">
        <v>773</v>
      </c>
      <c r="B177" s="3" t="s">
        <v>774</v>
      </c>
      <c r="C177" s="61" t="s">
        <v>3334</v>
      </c>
      <c r="D177" s="3" t="s">
        <v>3248</v>
      </c>
      <c r="E177" s="3">
        <v>1</v>
      </c>
      <c r="F177" s="3" t="s">
        <v>1905</v>
      </c>
      <c r="G177" s="9">
        <v>2056.485134</v>
      </c>
      <c r="H177" s="66">
        <v>60666.311453000002</v>
      </c>
      <c r="I177" s="9">
        <v>2528.7665416997002</v>
      </c>
      <c r="J177" s="10">
        <v>1.2296546665431427</v>
      </c>
      <c r="K177" s="66">
        <v>24943.67900253769</v>
      </c>
      <c r="L177" s="69">
        <v>85609.990455537685</v>
      </c>
      <c r="M177" s="64">
        <v>760005.3685519126</v>
      </c>
      <c r="N177" s="67">
        <v>15233.776887113483</v>
      </c>
      <c r="O177" s="64">
        <f t="shared" si="4"/>
        <v>100843.76734265118</v>
      </c>
      <c r="P177" s="64">
        <f t="shared" si="5"/>
        <v>49.036954206667836</v>
      </c>
    </row>
    <row r="178" spans="1:16" ht="15">
      <c r="A178" s="3" t="s">
        <v>1066</v>
      </c>
      <c r="B178" s="3" t="s">
        <v>1067</v>
      </c>
      <c r="C178" s="61" t="s">
        <v>3334</v>
      </c>
      <c r="D178" s="3" t="s">
        <v>3248</v>
      </c>
      <c r="E178" s="3">
        <v>1</v>
      </c>
      <c r="F178" s="3" t="s">
        <v>3223</v>
      </c>
      <c r="G178" s="9">
        <v>831.62143100000003</v>
      </c>
      <c r="H178" s="66">
        <v>24532.832214500002</v>
      </c>
      <c r="I178" s="9">
        <v>1171.8032190546</v>
      </c>
      <c r="J178" s="10">
        <v>1.4090584674393751</v>
      </c>
      <c r="K178" s="66">
        <v>17966.799423827164</v>
      </c>
      <c r="L178" s="69">
        <v>42499.631638327162</v>
      </c>
      <c r="M178" s="64">
        <v>6252300.1330043906</v>
      </c>
      <c r="N178" s="67">
        <v>125322.99007168527</v>
      </c>
      <c r="O178" s="64">
        <f t="shared" si="4"/>
        <v>167822.62171001243</v>
      </c>
      <c r="P178" s="64">
        <f t="shared" si="5"/>
        <v>201.80170382118547</v>
      </c>
    </row>
    <row r="179" spans="1:16" ht="15">
      <c r="A179" s="3" t="str">
        <f>"059980"</f>
        <v>059980</v>
      </c>
      <c r="B179" s="3" t="s">
        <v>2867</v>
      </c>
      <c r="C179" s="61" t="s">
        <v>3334</v>
      </c>
      <c r="D179" s="3" t="s">
        <v>3249</v>
      </c>
      <c r="E179" s="3">
        <v>1</v>
      </c>
      <c r="F179" s="3" t="s">
        <v>3220</v>
      </c>
      <c r="G179" s="9">
        <v>89</v>
      </c>
      <c r="H179" s="66">
        <v>2625.5</v>
      </c>
      <c r="I179" s="9">
        <v>113.6598</v>
      </c>
      <c r="J179" s="10">
        <v>1.2770764044943821</v>
      </c>
      <c r="K179" s="66">
        <v>1302.4144618834835</v>
      </c>
      <c r="L179" s="69">
        <v>3927.9144618834835</v>
      </c>
      <c r="M179" s="64">
        <v>0</v>
      </c>
      <c r="N179" s="67">
        <v>0</v>
      </c>
      <c r="O179" s="64">
        <f t="shared" si="4"/>
        <v>3927.9144618834835</v>
      </c>
      <c r="P179" s="64">
        <f t="shared" si="5"/>
        <v>44.133870358241388</v>
      </c>
    </row>
    <row r="180" spans="1:16" ht="15">
      <c r="A180" s="3" t="s">
        <v>1068</v>
      </c>
      <c r="B180" s="3" t="s">
        <v>1069</v>
      </c>
      <c r="C180" s="61" t="s">
        <v>3334</v>
      </c>
      <c r="D180" s="3" t="s">
        <v>3248</v>
      </c>
      <c r="E180" s="3">
        <v>1</v>
      </c>
      <c r="F180" s="3" t="s">
        <v>3224</v>
      </c>
      <c r="G180" s="9">
        <v>1139.943563</v>
      </c>
      <c r="H180" s="66">
        <v>33628.335108500003</v>
      </c>
      <c r="I180" s="9">
        <v>1306.9475078923001</v>
      </c>
      <c r="J180" s="10">
        <v>1.1465019412476827</v>
      </c>
      <c r="K180" s="66">
        <v>8820.3616014454255</v>
      </c>
      <c r="L180" s="69">
        <v>42448.696709945427</v>
      </c>
      <c r="M180" s="64">
        <v>1212215.7949707429</v>
      </c>
      <c r="N180" s="67">
        <v>24298.019097950393</v>
      </c>
      <c r="O180" s="64">
        <f t="shared" si="4"/>
        <v>66746.715807895816</v>
      </c>
      <c r="P180" s="64">
        <f t="shared" si="5"/>
        <v>58.552649424360858</v>
      </c>
    </row>
    <row r="181" spans="1:16" ht="15">
      <c r="A181" s="3" t="s">
        <v>1708</v>
      </c>
      <c r="B181" s="3" t="s">
        <v>1814</v>
      </c>
      <c r="C181" s="61" t="s">
        <v>3334</v>
      </c>
      <c r="D181" s="3" t="s">
        <v>1684</v>
      </c>
      <c r="E181" s="3">
        <v>1</v>
      </c>
      <c r="F181" s="3" t="s">
        <v>3266</v>
      </c>
      <c r="G181" s="9">
        <v>52.412249000000003</v>
      </c>
      <c r="H181" s="66">
        <v>1546.1613455000002</v>
      </c>
      <c r="I181" s="9">
        <v>67.3121281271698</v>
      </c>
      <c r="J181" s="10">
        <v>1.2842823845847522</v>
      </c>
      <c r="K181" s="66">
        <v>786.94142107972471</v>
      </c>
      <c r="L181" s="69">
        <v>2333.1027665797246</v>
      </c>
      <c r="M181" s="64">
        <v>0</v>
      </c>
      <c r="N181" s="67">
        <v>0</v>
      </c>
      <c r="O181" s="64">
        <f t="shared" si="4"/>
        <v>2333.1027665797246</v>
      </c>
      <c r="P181" s="64">
        <f t="shared" si="5"/>
        <v>44.514456278716921</v>
      </c>
    </row>
    <row r="182" spans="1:16" ht="15">
      <c r="A182" s="3" t="s">
        <v>828</v>
      </c>
      <c r="B182" s="3" t="s">
        <v>829</v>
      </c>
      <c r="C182" s="61" t="s">
        <v>3334</v>
      </c>
      <c r="D182" s="3" t="s">
        <v>3248</v>
      </c>
      <c r="E182" s="3">
        <v>1</v>
      </c>
      <c r="F182" s="3" t="s">
        <v>1905</v>
      </c>
      <c r="G182" s="9">
        <v>700.33031800000003</v>
      </c>
      <c r="H182" s="66">
        <v>20659.744381</v>
      </c>
      <c r="I182" s="9">
        <v>954.32838684776596</v>
      </c>
      <c r="J182" s="10">
        <v>1.3626832400646776</v>
      </c>
      <c r="K182" s="66">
        <v>13414.981393109718</v>
      </c>
      <c r="L182" s="69">
        <v>34074.72577410972</v>
      </c>
      <c r="M182" s="64">
        <v>126688.75104625728</v>
      </c>
      <c r="N182" s="67">
        <v>2539.3875456735304</v>
      </c>
      <c r="O182" s="64">
        <f t="shared" si="4"/>
        <v>36614.113319783253</v>
      </c>
      <c r="P182" s="64">
        <f t="shared" si="5"/>
        <v>52.281205566461352</v>
      </c>
    </row>
    <row r="183" spans="1:16" ht="15">
      <c r="A183" s="3" t="str">
        <f>"009484"</f>
        <v>009484</v>
      </c>
      <c r="B183" s="3" t="s">
        <v>3200</v>
      </c>
      <c r="C183" s="61" t="s">
        <v>3340</v>
      </c>
      <c r="D183" s="3" t="s">
        <v>3249</v>
      </c>
      <c r="E183" s="3">
        <v>1</v>
      </c>
      <c r="F183" s="3" t="s">
        <v>3220</v>
      </c>
      <c r="G183" s="9">
        <v>108</v>
      </c>
      <c r="H183" s="66">
        <v>3186</v>
      </c>
      <c r="I183" s="9">
        <v>108</v>
      </c>
      <c r="J183" s="10">
        <v>1</v>
      </c>
      <c r="K183" s="66">
        <v>0</v>
      </c>
      <c r="L183" s="69">
        <v>3186</v>
      </c>
      <c r="M183" s="64">
        <v>0</v>
      </c>
      <c r="N183" s="67">
        <v>0</v>
      </c>
      <c r="O183" s="64">
        <f t="shared" si="4"/>
        <v>3186</v>
      </c>
      <c r="P183" s="64">
        <f t="shared" si="5"/>
        <v>29.5</v>
      </c>
    </row>
    <row r="184" spans="1:16" ht="15">
      <c r="A184" s="3" t="s">
        <v>1682</v>
      </c>
      <c r="B184" s="3" t="s">
        <v>1683</v>
      </c>
      <c r="C184" s="61" t="s">
        <v>3340</v>
      </c>
      <c r="D184" s="3" t="s">
        <v>3248</v>
      </c>
      <c r="E184" s="3">
        <v>1</v>
      </c>
      <c r="F184" s="3" t="s">
        <v>1905</v>
      </c>
      <c r="G184" s="9">
        <v>1532.312578</v>
      </c>
      <c r="H184" s="66">
        <v>45203.221051</v>
      </c>
      <c r="I184" s="9">
        <v>2190.8411343838702</v>
      </c>
      <c r="J184" s="10">
        <v>1.4297612418240362</v>
      </c>
      <c r="K184" s="66">
        <v>34780.375972132999</v>
      </c>
      <c r="L184" s="69">
        <v>79983.597023132999</v>
      </c>
      <c r="M184" s="64">
        <v>790846.16866296052</v>
      </c>
      <c r="N184" s="67">
        <v>15851.959188650315</v>
      </c>
      <c r="O184" s="64">
        <f t="shared" si="4"/>
        <v>95835.556211783318</v>
      </c>
      <c r="P184" s="64">
        <f t="shared" si="5"/>
        <v>62.543085260625794</v>
      </c>
    </row>
    <row r="185" spans="1:16" ht="15">
      <c r="A185" s="3" t="s">
        <v>539</v>
      </c>
      <c r="B185" s="3" t="s">
        <v>540</v>
      </c>
      <c r="C185" s="61" t="s">
        <v>3340</v>
      </c>
      <c r="D185" s="3" t="s">
        <v>456</v>
      </c>
      <c r="E185" s="3">
        <v>1</v>
      </c>
      <c r="F185" s="3" t="s">
        <v>1897</v>
      </c>
      <c r="G185" s="9">
        <v>188.34563199999999</v>
      </c>
      <c r="H185" s="66">
        <v>5556.1961439999995</v>
      </c>
      <c r="I185" s="9">
        <v>262.87427914524699</v>
      </c>
      <c r="J185" s="10">
        <v>1.3957014896169559</v>
      </c>
      <c r="K185" s="66">
        <v>3936.2520323190324</v>
      </c>
      <c r="L185" s="69">
        <v>9492.4481763190324</v>
      </c>
      <c r="M185" s="64">
        <v>0</v>
      </c>
      <c r="N185" s="67">
        <v>0</v>
      </c>
      <c r="O185" s="64">
        <f t="shared" si="4"/>
        <v>9492.4481763190324</v>
      </c>
      <c r="P185" s="64">
        <f t="shared" si="5"/>
        <v>50.399088502987063</v>
      </c>
    </row>
    <row r="186" spans="1:16" ht="15">
      <c r="A186" s="19">
        <v>65938</v>
      </c>
      <c r="B186" s="20" t="s">
        <v>1952</v>
      </c>
      <c r="C186" s="61" t="s">
        <v>3340</v>
      </c>
      <c r="D186" s="19" t="s">
        <v>1973</v>
      </c>
      <c r="E186" s="19">
        <v>1</v>
      </c>
      <c r="F186" s="19" t="s">
        <v>1974</v>
      </c>
      <c r="G186" s="9">
        <v>11.870000000000001</v>
      </c>
      <c r="H186" s="66">
        <v>350.16500000000002</v>
      </c>
      <c r="I186" s="9">
        <v>51.398414000000002</v>
      </c>
      <c r="J186" s="10">
        <v>4.3301106992417857</v>
      </c>
      <c r="K186" s="66">
        <v>2087.7046062383938</v>
      </c>
      <c r="L186" s="69">
        <v>2437.8696062383938</v>
      </c>
      <c r="M186" s="64">
        <v>0</v>
      </c>
      <c r="N186" s="67">
        <v>0</v>
      </c>
      <c r="O186" s="64">
        <f t="shared" si="4"/>
        <v>2437.8696062383938</v>
      </c>
      <c r="P186" s="64">
        <f t="shared" si="5"/>
        <v>205.38075873954452</v>
      </c>
    </row>
    <row r="187" spans="1:16" ht="15">
      <c r="A187" s="3" t="s">
        <v>1678</v>
      </c>
      <c r="B187" s="3" t="s">
        <v>1679</v>
      </c>
      <c r="C187" s="61" t="s">
        <v>3340</v>
      </c>
      <c r="D187" s="3" t="s">
        <v>1684</v>
      </c>
      <c r="E187" s="3">
        <v>1</v>
      </c>
      <c r="F187" s="3" t="s">
        <v>3266</v>
      </c>
      <c r="G187" s="9">
        <v>39.782901000000003</v>
      </c>
      <c r="H187" s="66">
        <v>1173.5955795</v>
      </c>
      <c r="I187" s="9">
        <v>55.839982645538299</v>
      </c>
      <c r="J187" s="10">
        <v>1.40361766592985</v>
      </c>
      <c r="K187" s="66">
        <v>848.05940643447707</v>
      </c>
      <c r="L187" s="69">
        <v>2021.6549859344771</v>
      </c>
      <c r="M187" s="64">
        <v>0</v>
      </c>
      <c r="N187" s="67">
        <v>0</v>
      </c>
      <c r="O187" s="64">
        <f t="shared" si="4"/>
        <v>2021.6549859344771</v>
      </c>
      <c r="P187" s="64">
        <f t="shared" si="5"/>
        <v>50.817183642150098</v>
      </c>
    </row>
    <row r="188" spans="1:16" ht="15">
      <c r="A188" s="3" t="s">
        <v>1070</v>
      </c>
      <c r="B188" s="3" t="s">
        <v>1071</v>
      </c>
      <c r="C188" s="61" t="s">
        <v>3340</v>
      </c>
      <c r="D188" s="3" t="s">
        <v>3248</v>
      </c>
      <c r="E188" s="3">
        <v>1</v>
      </c>
      <c r="F188" s="3" t="s">
        <v>3223</v>
      </c>
      <c r="G188" s="9">
        <v>1265.4497289999999</v>
      </c>
      <c r="H188" s="66">
        <v>37330.767005499998</v>
      </c>
      <c r="I188" s="9">
        <v>1568.9144462166601</v>
      </c>
      <c r="J188" s="10">
        <v>1.2398078013391081</v>
      </c>
      <c r="K188" s="66">
        <v>16027.576718966084</v>
      </c>
      <c r="L188" s="69">
        <v>53358.343724466082</v>
      </c>
      <c r="M188" s="64">
        <v>1018843.6181853425</v>
      </c>
      <c r="N188" s="67">
        <v>20422.008849579313</v>
      </c>
      <c r="O188" s="64">
        <f t="shared" si="4"/>
        <v>73780.352574045392</v>
      </c>
      <c r="P188" s="64">
        <f t="shared" si="5"/>
        <v>58.303661444022005</v>
      </c>
    </row>
    <row r="189" spans="1:16" ht="15">
      <c r="A189" s="3" t="s">
        <v>1072</v>
      </c>
      <c r="B189" s="3" t="s">
        <v>1073</v>
      </c>
      <c r="C189" s="61" t="s">
        <v>3340</v>
      </c>
      <c r="D189" s="3" t="s">
        <v>3248</v>
      </c>
      <c r="E189" s="3">
        <v>1</v>
      </c>
      <c r="F189" s="3" t="s">
        <v>3223</v>
      </c>
      <c r="G189" s="9">
        <v>1937.0301489999999</v>
      </c>
      <c r="H189" s="66">
        <v>57142.389395499995</v>
      </c>
      <c r="I189" s="9">
        <v>2327.5240466363098</v>
      </c>
      <c r="J189" s="10">
        <v>1.2015941248193291</v>
      </c>
      <c r="K189" s="66">
        <v>20624.048027915007</v>
      </c>
      <c r="L189" s="69">
        <v>77766.437423415002</v>
      </c>
      <c r="M189" s="64">
        <v>2989122.2436361359</v>
      </c>
      <c r="N189" s="67">
        <v>59914.86801550223</v>
      </c>
      <c r="O189" s="64">
        <f t="shared" si="4"/>
        <v>137681.30543891725</v>
      </c>
      <c r="P189" s="64">
        <f t="shared" si="5"/>
        <v>71.078555751956571</v>
      </c>
    </row>
    <row r="190" spans="1:16" ht="15">
      <c r="A190" s="3" t="str">
        <f>"057729"</f>
        <v>057729</v>
      </c>
      <c r="B190" s="3" t="s">
        <v>2699</v>
      </c>
      <c r="C190" s="61" t="s">
        <v>3340</v>
      </c>
      <c r="D190" s="3" t="s">
        <v>3249</v>
      </c>
      <c r="E190" s="3">
        <v>1</v>
      </c>
      <c r="F190" s="3" t="s">
        <v>3220</v>
      </c>
      <c r="G190" s="9">
        <v>84</v>
      </c>
      <c r="H190" s="66">
        <v>2478</v>
      </c>
      <c r="I190" s="9">
        <v>93.124400000000009</v>
      </c>
      <c r="J190" s="10">
        <v>1.1086238095238097</v>
      </c>
      <c r="K190" s="66">
        <v>481.90782228605525</v>
      </c>
      <c r="L190" s="69">
        <v>2959.9078222860553</v>
      </c>
      <c r="M190" s="64">
        <v>0</v>
      </c>
      <c r="N190" s="67">
        <v>0</v>
      </c>
      <c r="O190" s="64">
        <f t="shared" si="4"/>
        <v>2959.9078222860553</v>
      </c>
      <c r="P190" s="64">
        <f t="shared" si="5"/>
        <v>35.236997884357798</v>
      </c>
    </row>
    <row r="191" spans="1:16" ht="15">
      <c r="A191" s="3" t="s">
        <v>1074</v>
      </c>
      <c r="B191" s="3" t="s">
        <v>1075</v>
      </c>
      <c r="C191" s="61" t="s">
        <v>3351</v>
      </c>
      <c r="D191" s="3" t="s">
        <v>3248</v>
      </c>
      <c r="E191" s="3">
        <v>1</v>
      </c>
      <c r="F191" s="3" t="s">
        <v>3224</v>
      </c>
      <c r="G191" s="9">
        <v>587.459067</v>
      </c>
      <c r="H191" s="66">
        <v>17330.042476499999</v>
      </c>
      <c r="I191" s="9">
        <v>713.92125119015304</v>
      </c>
      <c r="J191" s="10">
        <v>1.2152697801328736</v>
      </c>
      <c r="K191" s="66">
        <v>6679.1367963498533</v>
      </c>
      <c r="L191" s="69">
        <v>24009.179272849851</v>
      </c>
      <c r="M191" s="64">
        <v>818371.82061988208</v>
      </c>
      <c r="N191" s="67">
        <v>16403.691660465665</v>
      </c>
      <c r="O191" s="64">
        <f t="shared" si="4"/>
        <v>40412.870933315513</v>
      </c>
      <c r="P191" s="64">
        <f t="shared" si="5"/>
        <v>68.792658422472712</v>
      </c>
    </row>
    <row r="192" spans="1:16" ht="15">
      <c r="A192" s="3" t="s">
        <v>583</v>
      </c>
      <c r="B192" s="3" t="s">
        <v>584</v>
      </c>
      <c r="C192" s="61" t="s">
        <v>3351</v>
      </c>
      <c r="D192" s="3" t="s">
        <v>3248</v>
      </c>
      <c r="E192" s="3">
        <v>1</v>
      </c>
      <c r="F192" s="3" t="s">
        <v>1905</v>
      </c>
      <c r="G192" s="9">
        <v>1194.197621</v>
      </c>
      <c r="H192" s="66">
        <v>35228.829819500002</v>
      </c>
      <c r="I192" s="9">
        <v>1617.32567054488</v>
      </c>
      <c r="J192" s="10">
        <v>1.3543199568514968</v>
      </c>
      <c r="K192" s="66">
        <v>22347.630189855667</v>
      </c>
      <c r="L192" s="69">
        <v>57576.460009355666</v>
      </c>
      <c r="M192" s="64">
        <v>407539.1223523104</v>
      </c>
      <c r="N192" s="67">
        <v>8168.837115603973</v>
      </c>
      <c r="O192" s="64">
        <f t="shared" si="4"/>
        <v>65745.297124959645</v>
      </c>
      <c r="P192" s="64">
        <f t="shared" si="5"/>
        <v>55.053950844338218</v>
      </c>
    </row>
    <row r="193" spans="1:16" ht="15">
      <c r="A193" s="3" t="s">
        <v>1076</v>
      </c>
      <c r="B193" s="3" t="s">
        <v>1077</v>
      </c>
      <c r="C193" s="61" t="s">
        <v>3351</v>
      </c>
      <c r="D193" s="3" t="s">
        <v>3248</v>
      </c>
      <c r="E193" s="3">
        <v>1</v>
      </c>
      <c r="F193" s="3" t="s">
        <v>3223</v>
      </c>
      <c r="G193" s="9">
        <v>917.07119299999999</v>
      </c>
      <c r="H193" s="66">
        <v>27053.600193499999</v>
      </c>
      <c r="I193" s="9">
        <v>1103.2027579322701</v>
      </c>
      <c r="J193" s="10">
        <v>1.2029630484012708</v>
      </c>
      <c r="K193" s="66">
        <v>9830.5923803434398</v>
      </c>
      <c r="L193" s="69">
        <v>36884.192573843437</v>
      </c>
      <c r="M193" s="64">
        <v>1120099.4690278436</v>
      </c>
      <c r="N193" s="67">
        <v>22451.611670923252</v>
      </c>
      <c r="O193" s="64">
        <f t="shared" si="4"/>
        <v>59335.804244766688</v>
      </c>
      <c r="P193" s="64">
        <f t="shared" si="5"/>
        <v>64.70141543827414</v>
      </c>
    </row>
    <row r="194" spans="1:16" ht="15">
      <c r="A194" s="3" t="s">
        <v>888</v>
      </c>
      <c r="B194" s="3" t="s">
        <v>889</v>
      </c>
      <c r="C194" s="61" t="s">
        <v>3351</v>
      </c>
      <c r="D194" s="3" t="s">
        <v>3248</v>
      </c>
      <c r="E194" s="3">
        <v>1</v>
      </c>
      <c r="F194" s="3" t="s">
        <v>3223</v>
      </c>
      <c r="G194" s="9">
        <v>542.31066399999997</v>
      </c>
      <c r="H194" s="66">
        <v>15998.164588</v>
      </c>
      <c r="I194" s="9">
        <v>751.897502884951</v>
      </c>
      <c r="J194" s="10">
        <v>1.3864700674315913</v>
      </c>
      <c r="K194" s="66">
        <v>11069.3894510176</v>
      </c>
      <c r="L194" s="69">
        <v>27067.554039017599</v>
      </c>
      <c r="M194" s="64">
        <v>409809.70469644951</v>
      </c>
      <c r="N194" s="67">
        <v>8214.3493531034801</v>
      </c>
      <c r="O194" s="64">
        <f t="shared" si="4"/>
        <v>35281.903392121079</v>
      </c>
      <c r="P194" s="64">
        <f t="shared" si="5"/>
        <v>65.05847244803779</v>
      </c>
    </row>
    <row r="195" spans="1:16" ht="15">
      <c r="A195" s="3" t="s">
        <v>643</v>
      </c>
      <c r="B195" s="3" t="s">
        <v>644</v>
      </c>
      <c r="C195" s="61" t="s">
        <v>3351</v>
      </c>
      <c r="D195" s="3" t="s">
        <v>3248</v>
      </c>
      <c r="E195" s="3">
        <v>1</v>
      </c>
      <c r="F195" s="3" t="s">
        <v>1905</v>
      </c>
      <c r="G195" s="9">
        <v>1689.9736310000001</v>
      </c>
      <c r="H195" s="66">
        <v>49854.2221145</v>
      </c>
      <c r="I195" s="9">
        <v>2176.6164025348298</v>
      </c>
      <c r="J195" s="10">
        <v>1.2879587956924932</v>
      </c>
      <c r="K195" s="66">
        <v>25702.178582876677</v>
      </c>
      <c r="L195" s="69">
        <v>75556.400697376681</v>
      </c>
      <c r="M195" s="64">
        <v>752295.18102392764</v>
      </c>
      <c r="N195" s="67">
        <v>15079.231562278577</v>
      </c>
      <c r="O195" s="64">
        <f t="shared" ref="O195:O258" si="6">(N195+L195)</f>
        <v>90635.632259655264</v>
      </c>
      <c r="P195" s="64">
        <f t="shared" ref="P195:P258" si="7">O195/G195</f>
        <v>53.631388441264534</v>
      </c>
    </row>
    <row r="196" spans="1:16" ht="15">
      <c r="A196" s="3" t="str">
        <f>"058842"</f>
        <v>058842</v>
      </c>
      <c r="B196" s="3" t="s">
        <v>2692</v>
      </c>
      <c r="C196" s="61" t="s">
        <v>3351</v>
      </c>
      <c r="D196" s="3" t="s">
        <v>3249</v>
      </c>
      <c r="E196" s="3">
        <v>1</v>
      </c>
      <c r="F196" s="3" t="s">
        <v>3220</v>
      </c>
      <c r="G196" s="9">
        <v>29</v>
      </c>
      <c r="H196" s="66">
        <v>855.5</v>
      </c>
      <c r="I196" s="9">
        <v>33.286999999999999</v>
      </c>
      <c r="J196" s="10">
        <v>1.1478275862068965</v>
      </c>
      <c r="K196" s="66">
        <v>226.41914363030082</v>
      </c>
      <c r="L196" s="69">
        <v>1081.9191436303008</v>
      </c>
      <c r="M196" s="64">
        <v>0</v>
      </c>
      <c r="N196" s="67">
        <v>0</v>
      </c>
      <c r="O196" s="64">
        <f t="shared" si="6"/>
        <v>1081.9191436303008</v>
      </c>
      <c r="P196" s="64">
        <f t="shared" si="7"/>
        <v>37.307556676906927</v>
      </c>
    </row>
    <row r="197" spans="1:16" ht="15">
      <c r="A197" s="3" t="str">
        <f>"059071"</f>
        <v>059071</v>
      </c>
      <c r="B197" s="3" t="s">
        <v>2625</v>
      </c>
      <c r="C197" s="61" t="s">
        <v>3351</v>
      </c>
      <c r="D197" s="3" t="s">
        <v>3249</v>
      </c>
      <c r="E197" s="3">
        <v>1</v>
      </c>
      <c r="F197" s="3" t="s">
        <v>3220</v>
      </c>
      <c r="G197" s="9">
        <v>71</v>
      </c>
      <c r="H197" s="66">
        <v>2094.5</v>
      </c>
      <c r="I197" s="9">
        <v>77.515000000000001</v>
      </c>
      <c r="J197" s="10">
        <v>1.0917605633802816</v>
      </c>
      <c r="K197" s="66">
        <v>344.09160735978776</v>
      </c>
      <c r="L197" s="69">
        <v>2438.5916073597878</v>
      </c>
      <c r="M197" s="64">
        <v>0</v>
      </c>
      <c r="N197" s="67">
        <v>0</v>
      </c>
      <c r="O197" s="64">
        <f t="shared" si="6"/>
        <v>2438.5916073597878</v>
      </c>
      <c r="P197" s="64">
        <f t="shared" si="7"/>
        <v>34.346360667039264</v>
      </c>
    </row>
    <row r="198" spans="1:16" ht="15">
      <c r="A198" s="3" t="str">
        <f>"059055"</f>
        <v>059055</v>
      </c>
      <c r="B198" s="3" t="s">
        <v>2625</v>
      </c>
      <c r="C198" s="61" t="s">
        <v>3351</v>
      </c>
      <c r="D198" s="3" t="s">
        <v>3249</v>
      </c>
      <c r="E198" s="3">
        <v>1</v>
      </c>
      <c r="F198" s="3" t="s">
        <v>3220</v>
      </c>
      <c r="G198" s="9">
        <v>33</v>
      </c>
      <c r="H198" s="66">
        <v>973.5</v>
      </c>
      <c r="I198" s="9">
        <v>39.661799999999999</v>
      </c>
      <c r="J198" s="10">
        <v>1.2018727272727272</v>
      </c>
      <c r="K198" s="66">
        <v>351.84489177427992</v>
      </c>
      <c r="L198" s="69">
        <v>1325.3448917742799</v>
      </c>
      <c r="M198" s="64">
        <v>0</v>
      </c>
      <c r="N198" s="67">
        <v>0</v>
      </c>
      <c r="O198" s="64">
        <f t="shared" si="6"/>
        <v>1325.3448917742799</v>
      </c>
      <c r="P198" s="64">
        <f t="shared" si="7"/>
        <v>40.161966417402418</v>
      </c>
    </row>
    <row r="199" spans="1:16" ht="15">
      <c r="A199" s="3" t="s">
        <v>1078</v>
      </c>
      <c r="B199" s="3" t="s">
        <v>1079</v>
      </c>
      <c r="C199" s="61" t="s">
        <v>3351</v>
      </c>
      <c r="D199" s="3" t="s">
        <v>3248</v>
      </c>
      <c r="E199" s="3">
        <v>1</v>
      </c>
      <c r="F199" s="3" t="s">
        <v>3223</v>
      </c>
      <c r="G199" s="9">
        <v>1087.623963</v>
      </c>
      <c r="H199" s="66">
        <v>32084.906908500001</v>
      </c>
      <c r="I199" s="9">
        <v>1295.9054172738399</v>
      </c>
      <c r="J199" s="10">
        <v>1.1915013473032865</v>
      </c>
      <c r="K199" s="66">
        <v>11000.445185620832</v>
      </c>
      <c r="L199" s="69">
        <v>43085.352094120833</v>
      </c>
      <c r="M199" s="64">
        <v>1650423.4164569578</v>
      </c>
      <c r="N199" s="67">
        <v>33081.584862325253</v>
      </c>
      <c r="O199" s="64">
        <f t="shared" si="6"/>
        <v>76166.936956446094</v>
      </c>
      <c r="P199" s="64">
        <f t="shared" si="7"/>
        <v>70.030580005201756</v>
      </c>
    </row>
    <row r="200" spans="1:16" ht="15">
      <c r="A200" s="3" t="str">
        <f>"056689"</f>
        <v>056689</v>
      </c>
      <c r="B200" s="3" t="s">
        <v>2670</v>
      </c>
      <c r="C200" s="61" t="s">
        <v>3275</v>
      </c>
      <c r="D200" s="3" t="s">
        <v>3249</v>
      </c>
      <c r="E200" s="3">
        <v>1</v>
      </c>
      <c r="F200" s="3" t="s">
        <v>3220</v>
      </c>
      <c r="G200" s="9">
        <v>112</v>
      </c>
      <c r="H200" s="66">
        <v>3304</v>
      </c>
      <c r="I200" s="9">
        <v>115.7122</v>
      </c>
      <c r="J200" s="10">
        <v>1.0331446428571429</v>
      </c>
      <c r="K200" s="66">
        <v>196.06091555502726</v>
      </c>
      <c r="L200" s="69">
        <v>3500.0609155550273</v>
      </c>
      <c r="M200" s="64">
        <v>0</v>
      </c>
      <c r="N200" s="67">
        <v>0</v>
      </c>
      <c r="O200" s="64">
        <f t="shared" si="6"/>
        <v>3500.0609155550273</v>
      </c>
      <c r="P200" s="64">
        <f t="shared" si="7"/>
        <v>31.250543888884174</v>
      </c>
    </row>
    <row r="201" spans="1:16" ht="15">
      <c r="A201" s="3" t="str">
        <f>"000176"</f>
        <v>000176</v>
      </c>
      <c r="B201" s="3" t="s">
        <v>3013</v>
      </c>
      <c r="C201" s="61" t="s">
        <v>3275</v>
      </c>
      <c r="D201" s="3" t="s">
        <v>3249</v>
      </c>
      <c r="E201" s="3">
        <v>1</v>
      </c>
      <c r="F201" s="3" t="s">
        <v>3220</v>
      </c>
      <c r="G201" s="9">
        <v>198</v>
      </c>
      <c r="H201" s="66">
        <v>5841</v>
      </c>
      <c r="I201" s="9">
        <v>218.83679999999998</v>
      </c>
      <c r="J201" s="10">
        <v>1.1052363636363636</v>
      </c>
      <c r="K201" s="66">
        <v>1100.5016123153368</v>
      </c>
      <c r="L201" s="69">
        <v>6941.5016123153364</v>
      </c>
      <c r="M201" s="64">
        <v>0</v>
      </c>
      <c r="N201" s="67">
        <v>0</v>
      </c>
      <c r="O201" s="64">
        <f t="shared" si="6"/>
        <v>6941.5016123153364</v>
      </c>
      <c r="P201" s="64">
        <f t="shared" si="7"/>
        <v>35.058088951087555</v>
      </c>
    </row>
    <row r="202" spans="1:16" ht="15">
      <c r="A202" s="3" t="str">
        <f>"009443"</f>
        <v>009443</v>
      </c>
      <c r="B202" s="3" t="s">
        <v>2635</v>
      </c>
      <c r="C202" s="61" t="s">
        <v>3275</v>
      </c>
      <c r="D202" s="3" t="s">
        <v>3249</v>
      </c>
      <c r="E202" s="3">
        <v>1</v>
      </c>
      <c r="F202" s="3" t="s">
        <v>3220</v>
      </c>
      <c r="G202" s="9">
        <v>111</v>
      </c>
      <c r="H202" s="66">
        <v>3274.5</v>
      </c>
      <c r="I202" s="9">
        <v>113</v>
      </c>
      <c r="J202" s="10">
        <v>1.0180180180180181</v>
      </c>
      <c r="K202" s="66">
        <v>105.63057785411749</v>
      </c>
      <c r="L202" s="69">
        <v>3380.1305778541173</v>
      </c>
      <c r="M202" s="64">
        <v>0</v>
      </c>
      <c r="N202" s="67">
        <v>0</v>
      </c>
      <c r="O202" s="64">
        <f t="shared" si="6"/>
        <v>3380.1305778541173</v>
      </c>
      <c r="P202" s="64">
        <f t="shared" si="7"/>
        <v>30.45162682751457</v>
      </c>
    </row>
    <row r="203" spans="1:16" ht="15">
      <c r="A203" s="3" t="s">
        <v>293</v>
      </c>
      <c r="B203" s="3" t="s">
        <v>1810</v>
      </c>
      <c r="C203" s="61" t="s">
        <v>3275</v>
      </c>
      <c r="D203" s="3" t="s">
        <v>1684</v>
      </c>
      <c r="E203" s="3">
        <v>1</v>
      </c>
      <c r="F203" s="3" t="s">
        <v>3266</v>
      </c>
      <c r="G203" s="9">
        <v>329.56440600000002</v>
      </c>
      <c r="H203" s="66">
        <v>9722.1499770000009</v>
      </c>
      <c r="I203" s="9">
        <v>542.19829058495202</v>
      </c>
      <c r="J203" s="10">
        <v>1.6451967527857119</v>
      </c>
      <c r="K203" s="66">
        <v>11230.320050037102</v>
      </c>
      <c r="L203" s="69">
        <v>20952.470027037103</v>
      </c>
      <c r="M203" s="64">
        <v>0</v>
      </c>
      <c r="N203" s="67">
        <v>0</v>
      </c>
      <c r="O203" s="64">
        <f t="shared" si="6"/>
        <v>20952.470027037103</v>
      </c>
      <c r="P203" s="64">
        <f t="shared" si="7"/>
        <v>63.57625291317747</v>
      </c>
    </row>
    <row r="204" spans="1:16" ht="15">
      <c r="A204" s="3" t="s">
        <v>70</v>
      </c>
      <c r="B204" s="3" t="s">
        <v>71</v>
      </c>
      <c r="C204" s="61" t="s">
        <v>3275</v>
      </c>
      <c r="D204" s="3" t="s">
        <v>1684</v>
      </c>
      <c r="E204" s="3">
        <v>1</v>
      </c>
      <c r="F204" s="3" t="s">
        <v>3266</v>
      </c>
      <c r="G204" s="9">
        <v>495.74995799999999</v>
      </c>
      <c r="H204" s="66">
        <v>14624.623760999999</v>
      </c>
      <c r="I204" s="9">
        <v>656.440652405327</v>
      </c>
      <c r="J204" s="10">
        <v>1.3241365769421347</v>
      </c>
      <c r="K204" s="66">
        <v>8486.9254529070495</v>
      </c>
      <c r="L204" s="69">
        <v>23111.549213907048</v>
      </c>
      <c r="M204" s="64">
        <v>0</v>
      </c>
      <c r="N204" s="67">
        <v>0</v>
      </c>
      <c r="O204" s="64">
        <f t="shared" si="6"/>
        <v>23111.549213907048</v>
      </c>
      <c r="P204" s="64">
        <f t="shared" si="7"/>
        <v>46.61936696302665</v>
      </c>
    </row>
    <row r="205" spans="1:16" ht="15">
      <c r="A205" s="3" t="str">
        <f>"056036"</f>
        <v>056036</v>
      </c>
      <c r="B205" s="3" t="s">
        <v>2707</v>
      </c>
      <c r="C205" s="61" t="s">
        <v>3275</v>
      </c>
      <c r="D205" s="3" t="s">
        <v>3249</v>
      </c>
      <c r="E205" s="3">
        <v>1</v>
      </c>
      <c r="F205" s="3" t="s">
        <v>3220</v>
      </c>
      <c r="G205" s="9">
        <v>162</v>
      </c>
      <c r="H205" s="66">
        <v>4779</v>
      </c>
      <c r="I205" s="9">
        <v>180.56180000000001</v>
      </c>
      <c r="J205" s="10">
        <v>1.1145790123456791</v>
      </c>
      <c r="K205" s="66">
        <v>980.34683000627933</v>
      </c>
      <c r="L205" s="69">
        <v>5759.3468300062796</v>
      </c>
      <c r="M205" s="64">
        <v>0</v>
      </c>
      <c r="N205" s="67">
        <v>0</v>
      </c>
      <c r="O205" s="64">
        <f t="shared" si="6"/>
        <v>5759.3468300062796</v>
      </c>
      <c r="P205" s="64">
        <f t="shared" si="7"/>
        <v>35.551523642014068</v>
      </c>
    </row>
    <row r="206" spans="1:16" ht="15">
      <c r="A206" s="3" t="str">
        <f>"056416"</f>
        <v>056416</v>
      </c>
      <c r="B206" s="3" t="s">
        <v>2703</v>
      </c>
      <c r="C206" s="61" t="s">
        <v>3275</v>
      </c>
      <c r="D206" s="3" t="s">
        <v>3249</v>
      </c>
      <c r="E206" s="3">
        <v>1</v>
      </c>
      <c r="F206" s="3" t="s">
        <v>3220</v>
      </c>
      <c r="G206" s="9">
        <v>137</v>
      </c>
      <c r="H206" s="66">
        <v>4041.5</v>
      </c>
      <c r="I206" s="9">
        <v>142.2244</v>
      </c>
      <c r="J206" s="10">
        <v>1.0381343065693431</v>
      </c>
      <c r="K206" s="66">
        <v>275.92819547052591</v>
      </c>
      <c r="L206" s="69">
        <v>4317.4281954705257</v>
      </c>
      <c r="M206" s="64">
        <v>0</v>
      </c>
      <c r="N206" s="67">
        <v>0</v>
      </c>
      <c r="O206" s="64">
        <f t="shared" si="6"/>
        <v>4317.4281954705257</v>
      </c>
      <c r="P206" s="64">
        <f t="shared" si="7"/>
        <v>31.514074419492889</v>
      </c>
    </row>
    <row r="207" spans="1:16" ht="15">
      <c r="A207" s="3" t="s">
        <v>557</v>
      </c>
      <c r="B207" s="3" t="s">
        <v>558</v>
      </c>
      <c r="C207" s="61" t="s">
        <v>3275</v>
      </c>
      <c r="D207" s="3" t="s">
        <v>3248</v>
      </c>
      <c r="E207" s="3">
        <v>1</v>
      </c>
      <c r="F207" s="3" t="s">
        <v>1907</v>
      </c>
      <c r="G207" s="9">
        <v>2470.9627099999998</v>
      </c>
      <c r="H207" s="66">
        <v>72893.399944999997</v>
      </c>
      <c r="I207" s="9">
        <v>2775.1976250042599</v>
      </c>
      <c r="J207" s="10">
        <v>1.1231240414001473</v>
      </c>
      <c r="K207" s="66">
        <v>16068.254937649157</v>
      </c>
      <c r="L207" s="69">
        <v>88961.654882649149</v>
      </c>
      <c r="M207" s="64">
        <v>964876.3771173578</v>
      </c>
      <c r="N207" s="67">
        <v>19340.273188673134</v>
      </c>
      <c r="O207" s="64">
        <f t="shared" si="6"/>
        <v>108301.92807132228</v>
      </c>
      <c r="P207" s="64">
        <f t="shared" si="7"/>
        <v>43.829851269314496</v>
      </c>
    </row>
    <row r="208" spans="1:16" ht="15">
      <c r="A208" s="3" t="s">
        <v>559</v>
      </c>
      <c r="B208" s="3" t="s">
        <v>560</v>
      </c>
      <c r="C208" s="61" t="s">
        <v>3275</v>
      </c>
      <c r="D208" s="3" t="s">
        <v>3248</v>
      </c>
      <c r="E208" s="3">
        <v>1</v>
      </c>
      <c r="F208" s="3" t="s">
        <v>1907</v>
      </c>
      <c r="G208" s="9">
        <v>1546.834106</v>
      </c>
      <c r="H208" s="66">
        <v>45631.606126999999</v>
      </c>
      <c r="I208" s="9">
        <v>1899.3473760121101</v>
      </c>
      <c r="J208" s="10">
        <v>1.2278933911818661</v>
      </c>
      <c r="K208" s="66">
        <v>18618.090206311866</v>
      </c>
      <c r="L208" s="69">
        <v>64249.696333311862</v>
      </c>
      <c r="M208" s="64">
        <v>907777.27315849764</v>
      </c>
      <c r="N208" s="67">
        <v>18195.761523155918</v>
      </c>
      <c r="O208" s="64">
        <f t="shared" si="6"/>
        <v>82445.457856467779</v>
      </c>
      <c r="P208" s="64">
        <f t="shared" si="7"/>
        <v>53.299482818920843</v>
      </c>
    </row>
    <row r="209" spans="1:16" ht="15">
      <c r="A209" s="3" t="str">
        <f>"143081"</f>
        <v>143081</v>
      </c>
      <c r="B209" s="3" t="s">
        <v>2751</v>
      </c>
      <c r="C209" s="61" t="s">
        <v>3275</v>
      </c>
      <c r="D209" s="3" t="s">
        <v>3249</v>
      </c>
      <c r="E209" s="3">
        <v>1</v>
      </c>
      <c r="F209" s="3" t="s">
        <v>3220</v>
      </c>
      <c r="G209" s="9">
        <v>198</v>
      </c>
      <c r="H209" s="66">
        <v>5841</v>
      </c>
      <c r="I209" s="9">
        <v>214.1114</v>
      </c>
      <c r="J209" s="10">
        <v>1.081370707070707</v>
      </c>
      <c r="K209" s="66">
        <v>850.92824601941447</v>
      </c>
      <c r="L209" s="69">
        <v>6691.9282460194145</v>
      </c>
      <c r="M209" s="64">
        <v>0</v>
      </c>
      <c r="N209" s="67">
        <v>0</v>
      </c>
      <c r="O209" s="64">
        <f t="shared" si="6"/>
        <v>6691.9282460194145</v>
      </c>
      <c r="P209" s="64">
        <f t="shared" si="7"/>
        <v>33.797617404138457</v>
      </c>
    </row>
    <row r="210" spans="1:16" ht="15">
      <c r="A210" s="3" t="str">
        <f>"052654"</f>
        <v>052654</v>
      </c>
      <c r="B210" s="3" t="s">
        <v>2816</v>
      </c>
      <c r="C210" s="61" t="s">
        <v>3275</v>
      </c>
      <c r="D210" s="3" t="s">
        <v>3249</v>
      </c>
      <c r="E210" s="3">
        <v>1</v>
      </c>
      <c r="F210" s="3" t="s">
        <v>3220</v>
      </c>
      <c r="G210" s="9">
        <v>323</v>
      </c>
      <c r="H210" s="66">
        <v>9528.5</v>
      </c>
      <c r="I210" s="9">
        <v>334.06099999999998</v>
      </c>
      <c r="J210" s="10">
        <v>1.0342445820433437</v>
      </c>
      <c r="K210" s="66">
        <v>584.18991082219577</v>
      </c>
      <c r="L210" s="69">
        <v>10112.689910822195</v>
      </c>
      <c r="M210" s="64">
        <v>0</v>
      </c>
      <c r="N210" s="67">
        <v>0</v>
      </c>
      <c r="O210" s="64">
        <f t="shared" si="6"/>
        <v>10112.689910822195</v>
      </c>
      <c r="P210" s="64">
        <f t="shared" si="7"/>
        <v>31.308637494805559</v>
      </c>
    </row>
    <row r="211" spans="1:16" ht="15">
      <c r="A211" s="3" t="s">
        <v>561</v>
      </c>
      <c r="B211" s="3" t="s">
        <v>562</v>
      </c>
      <c r="C211" s="61" t="s">
        <v>3275</v>
      </c>
      <c r="D211" s="3" t="s">
        <v>3248</v>
      </c>
      <c r="E211" s="3">
        <v>1</v>
      </c>
      <c r="F211" s="3" t="s">
        <v>1909</v>
      </c>
      <c r="G211" s="9">
        <v>3204.417391</v>
      </c>
      <c r="H211" s="66">
        <v>94530.313034499995</v>
      </c>
      <c r="I211" s="9">
        <v>4240.2511618915996</v>
      </c>
      <c r="J211" s="10">
        <v>1.323251825371085</v>
      </c>
      <c r="K211" s="66">
        <v>54707.859890044609</v>
      </c>
      <c r="L211" s="69">
        <v>149238.1729245446</v>
      </c>
      <c r="M211" s="64">
        <v>1788883.2006865949</v>
      </c>
      <c r="N211" s="67">
        <v>35856.914548234032</v>
      </c>
      <c r="O211" s="64">
        <f t="shared" si="6"/>
        <v>185095.08747277863</v>
      </c>
      <c r="P211" s="64">
        <f t="shared" si="7"/>
        <v>57.762477507655817</v>
      </c>
    </row>
    <row r="212" spans="1:16" ht="15">
      <c r="A212" s="3" t="s">
        <v>192</v>
      </c>
      <c r="B212" s="3" t="s">
        <v>1792</v>
      </c>
      <c r="C212" s="61" t="s">
        <v>3275</v>
      </c>
      <c r="D212" s="3" t="s">
        <v>1684</v>
      </c>
      <c r="E212" s="3">
        <v>1</v>
      </c>
      <c r="F212" s="3" t="s">
        <v>3266</v>
      </c>
      <c r="G212" s="9">
        <v>283.41242299999999</v>
      </c>
      <c r="H212" s="66">
        <v>8360.6664784999994</v>
      </c>
      <c r="I212" s="9">
        <v>363.513255018584</v>
      </c>
      <c r="J212" s="10">
        <v>1.282629925571696</v>
      </c>
      <c r="K212" s="66">
        <v>4230.548586359313</v>
      </c>
      <c r="L212" s="69">
        <v>12591.215064859312</v>
      </c>
      <c r="M212" s="64">
        <v>0</v>
      </c>
      <c r="N212" s="67">
        <v>0</v>
      </c>
      <c r="O212" s="64">
        <f t="shared" si="6"/>
        <v>12591.215064859312</v>
      </c>
      <c r="P212" s="64">
        <f t="shared" si="7"/>
        <v>44.427181178502231</v>
      </c>
    </row>
    <row r="213" spans="1:16" ht="15">
      <c r="A213" s="3" t="str">
        <f>"052662"</f>
        <v>052662</v>
      </c>
      <c r="B213" s="3" t="s">
        <v>2908</v>
      </c>
      <c r="C213" s="61" t="s">
        <v>3275</v>
      </c>
      <c r="D213" s="3" t="s">
        <v>3249</v>
      </c>
      <c r="E213" s="3">
        <v>1</v>
      </c>
      <c r="F213" s="3" t="s">
        <v>3220</v>
      </c>
      <c r="G213" s="9">
        <v>296</v>
      </c>
      <c r="H213" s="66">
        <v>8732</v>
      </c>
      <c r="I213" s="9">
        <v>334.34640000000002</v>
      </c>
      <c r="J213" s="10">
        <v>1.1295486486486488</v>
      </c>
      <c r="K213" s="66">
        <v>2025.2761953125664</v>
      </c>
      <c r="L213" s="69">
        <v>10757.276195312566</v>
      </c>
      <c r="M213" s="64">
        <v>0</v>
      </c>
      <c r="N213" s="67">
        <v>0</v>
      </c>
      <c r="O213" s="64">
        <f t="shared" si="6"/>
        <v>10757.276195312566</v>
      </c>
      <c r="P213" s="64">
        <f t="shared" si="7"/>
        <v>36.342149308488402</v>
      </c>
    </row>
    <row r="214" spans="1:16" ht="15">
      <c r="A214" s="3" t="s">
        <v>570</v>
      </c>
      <c r="B214" s="3" t="s">
        <v>571</v>
      </c>
      <c r="C214" s="61" t="s">
        <v>3275</v>
      </c>
      <c r="D214" s="3" t="s">
        <v>3248</v>
      </c>
      <c r="E214" s="3">
        <v>1</v>
      </c>
      <c r="F214" s="3" t="s">
        <v>1909</v>
      </c>
      <c r="G214" s="9">
        <v>5817.1233380000003</v>
      </c>
      <c r="H214" s="66">
        <v>171605.13847100001</v>
      </c>
      <c r="I214" s="9">
        <v>7309.7512938786103</v>
      </c>
      <c r="J214" s="10">
        <v>1.2565921107651457</v>
      </c>
      <c r="K214" s="66">
        <v>78833.576750333887</v>
      </c>
      <c r="L214" s="69">
        <v>250438.7152213339</v>
      </c>
      <c r="M214" s="64">
        <v>4215276.1933351969</v>
      </c>
      <c r="N214" s="67">
        <v>84492.267691715941</v>
      </c>
      <c r="O214" s="64">
        <f t="shared" si="6"/>
        <v>334930.98291304987</v>
      </c>
      <c r="P214" s="64">
        <f t="shared" si="7"/>
        <v>57.576737409903934</v>
      </c>
    </row>
    <row r="215" spans="1:16" ht="15">
      <c r="A215" s="3" t="str">
        <f>"060301"</f>
        <v>060301</v>
      </c>
      <c r="B215" s="3" t="s">
        <v>2795</v>
      </c>
      <c r="C215" s="61" t="s">
        <v>3275</v>
      </c>
      <c r="D215" s="3" t="s">
        <v>3249</v>
      </c>
      <c r="E215" s="3">
        <v>1</v>
      </c>
      <c r="F215" s="3" t="s">
        <v>3220</v>
      </c>
      <c r="G215" s="9">
        <v>205</v>
      </c>
      <c r="H215" s="66">
        <v>6047.5</v>
      </c>
      <c r="I215" s="9">
        <v>219.52359999999999</v>
      </c>
      <c r="J215" s="10">
        <v>1.0708468292682927</v>
      </c>
      <c r="K215" s="66">
        <v>767.06813026102975</v>
      </c>
      <c r="L215" s="69">
        <v>6814.5681302610301</v>
      </c>
      <c r="M215" s="64">
        <v>0</v>
      </c>
      <c r="N215" s="67">
        <v>0</v>
      </c>
      <c r="O215" s="64">
        <f t="shared" si="6"/>
        <v>6814.5681302610301</v>
      </c>
      <c r="P215" s="64">
        <f t="shared" si="7"/>
        <v>33.24179575737088</v>
      </c>
    </row>
    <row r="216" spans="1:16" ht="15">
      <c r="A216" s="3" t="str">
        <f>"094268"</f>
        <v>094268</v>
      </c>
      <c r="B216" s="3" t="s">
        <v>2686</v>
      </c>
      <c r="C216" s="61" t="s">
        <v>3275</v>
      </c>
      <c r="D216" s="3" t="s">
        <v>3249</v>
      </c>
      <c r="E216" s="3">
        <v>1</v>
      </c>
      <c r="F216" s="3" t="s">
        <v>3220</v>
      </c>
      <c r="G216" s="9">
        <v>138</v>
      </c>
      <c r="H216" s="66">
        <v>4071</v>
      </c>
      <c r="I216" s="9">
        <v>147.18700000000001</v>
      </c>
      <c r="J216" s="10">
        <v>1.066572463768116</v>
      </c>
      <c r="K216" s="66">
        <v>485.21405937288932</v>
      </c>
      <c r="L216" s="69">
        <v>4556.2140593728891</v>
      </c>
      <c r="M216" s="64">
        <v>0</v>
      </c>
      <c r="N216" s="67">
        <v>0</v>
      </c>
      <c r="O216" s="64">
        <f t="shared" si="6"/>
        <v>4556.2140593728891</v>
      </c>
      <c r="P216" s="64">
        <f t="shared" si="7"/>
        <v>33.016043908499199</v>
      </c>
    </row>
    <row r="217" spans="1:16" ht="15">
      <c r="A217" s="3" t="str">
        <f>"097683"</f>
        <v>097683</v>
      </c>
      <c r="B217" s="3" t="s">
        <v>3090</v>
      </c>
      <c r="C217" s="61" t="s">
        <v>3275</v>
      </c>
      <c r="D217" s="3" t="s">
        <v>3249</v>
      </c>
      <c r="E217" s="3">
        <v>1</v>
      </c>
      <c r="F217" s="3" t="s">
        <v>3220</v>
      </c>
      <c r="G217" s="9">
        <v>222</v>
      </c>
      <c r="H217" s="66">
        <v>6549</v>
      </c>
      <c r="I217" s="9">
        <v>222</v>
      </c>
      <c r="J217" s="10">
        <v>1</v>
      </c>
      <c r="K217" s="66">
        <v>0</v>
      </c>
      <c r="L217" s="69">
        <v>6549</v>
      </c>
      <c r="M217" s="64">
        <v>0</v>
      </c>
      <c r="N217" s="67">
        <v>0</v>
      </c>
      <c r="O217" s="64">
        <f t="shared" si="6"/>
        <v>6549</v>
      </c>
      <c r="P217" s="64">
        <f t="shared" si="7"/>
        <v>29.5</v>
      </c>
    </row>
    <row r="218" spans="1:16" ht="15">
      <c r="A218" s="3" t="s">
        <v>575</v>
      </c>
      <c r="B218" s="3" t="s">
        <v>576</v>
      </c>
      <c r="C218" s="61" t="s">
        <v>3275</v>
      </c>
      <c r="D218" s="3" t="s">
        <v>3248</v>
      </c>
      <c r="E218" s="3">
        <v>1</v>
      </c>
      <c r="F218" s="3" t="s">
        <v>1907</v>
      </c>
      <c r="G218" s="9">
        <v>3725.0114309999999</v>
      </c>
      <c r="H218" s="66">
        <v>109887.8372145</v>
      </c>
      <c r="I218" s="9">
        <v>4242.7932733426196</v>
      </c>
      <c r="J218" s="10">
        <v>1.1390014103134225</v>
      </c>
      <c r="K218" s="66">
        <v>27346.797604510244</v>
      </c>
      <c r="L218" s="69">
        <v>137234.63481901024</v>
      </c>
      <c r="M218" s="64">
        <v>2373639.9830794996</v>
      </c>
      <c r="N218" s="67">
        <v>47577.955905050985</v>
      </c>
      <c r="O218" s="64">
        <f t="shared" si="6"/>
        <v>184812.59072406124</v>
      </c>
      <c r="P218" s="64">
        <f t="shared" si="7"/>
        <v>49.613966063574544</v>
      </c>
    </row>
    <row r="219" spans="1:16" ht="15">
      <c r="A219" s="3" t="s">
        <v>261</v>
      </c>
      <c r="B219" s="3" t="s">
        <v>262</v>
      </c>
      <c r="C219" s="61" t="s">
        <v>3275</v>
      </c>
      <c r="D219" s="3" t="s">
        <v>1684</v>
      </c>
      <c r="E219" s="3">
        <v>1</v>
      </c>
      <c r="F219" s="3" t="s">
        <v>3266</v>
      </c>
      <c r="G219" s="9">
        <v>162.20118299999999</v>
      </c>
      <c r="H219" s="66">
        <v>4784.9348984999997</v>
      </c>
      <c r="I219" s="9">
        <v>220.751599139473</v>
      </c>
      <c r="J219" s="10">
        <v>1.3609740388852345</v>
      </c>
      <c r="K219" s="66">
        <v>3092.3571452057909</v>
      </c>
      <c r="L219" s="69">
        <v>7877.292043705791</v>
      </c>
      <c r="M219" s="64">
        <v>0</v>
      </c>
      <c r="N219" s="67">
        <v>0</v>
      </c>
      <c r="O219" s="64">
        <f t="shared" si="6"/>
        <v>7877.292043705791</v>
      </c>
      <c r="P219" s="64">
        <f t="shared" si="7"/>
        <v>48.564948158890999</v>
      </c>
    </row>
    <row r="220" spans="1:16" ht="15">
      <c r="A220" s="3" t="s">
        <v>577</v>
      </c>
      <c r="B220" s="3" t="s">
        <v>578</v>
      </c>
      <c r="C220" s="61" t="s">
        <v>3275</v>
      </c>
      <c r="D220" s="3" t="s">
        <v>3248</v>
      </c>
      <c r="E220" s="3">
        <v>1</v>
      </c>
      <c r="F220" s="3" t="s">
        <v>1909</v>
      </c>
      <c r="G220" s="9">
        <v>1120.42624</v>
      </c>
      <c r="H220" s="66">
        <v>33052.574079999999</v>
      </c>
      <c r="I220" s="9">
        <v>1492.9413604915801</v>
      </c>
      <c r="J220" s="10">
        <v>1.3324762551897928</v>
      </c>
      <c r="K220" s="66">
        <v>19674.493718460904</v>
      </c>
      <c r="L220" s="69">
        <v>52727.067798460906</v>
      </c>
      <c r="M220" s="64">
        <v>87015.094964343501</v>
      </c>
      <c r="N220" s="67">
        <v>1744.1568143439467</v>
      </c>
      <c r="O220" s="64">
        <f t="shared" si="6"/>
        <v>54471.22461280485</v>
      </c>
      <c r="P220" s="64">
        <f t="shared" si="7"/>
        <v>48.616519917281522</v>
      </c>
    </row>
    <row r="221" spans="1:16" ht="15">
      <c r="A221" s="3" t="s">
        <v>876</v>
      </c>
      <c r="B221" s="3" t="s">
        <v>877</v>
      </c>
      <c r="C221" s="61" t="s">
        <v>3275</v>
      </c>
      <c r="D221" s="3" t="s">
        <v>3248</v>
      </c>
      <c r="E221" s="3">
        <v>1</v>
      </c>
      <c r="F221" s="3" t="s">
        <v>1907</v>
      </c>
      <c r="G221" s="9">
        <v>1852.4661799999999</v>
      </c>
      <c r="H221" s="66">
        <v>54647.752309999996</v>
      </c>
      <c r="I221" s="9">
        <v>2098.53354359982</v>
      </c>
      <c r="J221" s="10">
        <v>1.1328323109250071</v>
      </c>
      <c r="K221" s="66">
        <v>12996.118904044115</v>
      </c>
      <c r="L221" s="69">
        <v>67643.871214044106</v>
      </c>
      <c r="M221" s="64">
        <v>798234.35316632362</v>
      </c>
      <c r="N221" s="67">
        <v>16000.050187717219</v>
      </c>
      <c r="O221" s="64">
        <f t="shared" si="6"/>
        <v>83643.921401761327</v>
      </c>
      <c r="P221" s="64">
        <f t="shared" si="7"/>
        <v>45.152738713837856</v>
      </c>
    </row>
    <row r="222" spans="1:16" ht="15">
      <c r="A222" s="3" t="str">
        <f>"017404"</f>
        <v>017404</v>
      </c>
      <c r="B222" s="3" t="s">
        <v>2606</v>
      </c>
      <c r="C222" s="61" t="s">
        <v>3275</v>
      </c>
      <c r="D222" s="3" t="s">
        <v>3249</v>
      </c>
      <c r="E222" s="3">
        <v>1</v>
      </c>
      <c r="F222" s="3" t="s">
        <v>3220</v>
      </c>
      <c r="G222" s="9">
        <v>17</v>
      </c>
      <c r="H222" s="66">
        <v>501.5</v>
      </c>
      <c r="I222" s="9">
        <v>17</v>
      </c>
      <c r="J222" s="10">
        <v>1</v>
      </c>
      <c r="K222" s="66">
        <v>0</v>
      </c>
      <c r="L222" s="69">
        <v>501.5</v>
      </c>
      <c r="M222" s="64">
        <v>0</v>
      </c>
      <c r="N222" s="67">
        <v>0</v>
      </c>
      <c r="O222" s="64">
        <f t="shared" si="6"/>
        <v>501.5</v>
      </c>
      <c r="P222" s="64">
        <f t="shared" si="7"/>
        <v>29.5</v>
      </c>
    </row>
    <row r="223" spans="1:16" ht="15">
      <c r="A223" s="3" t="s">
        <v>369</v>
      </c>
      <c r="B223" s="3" t="s">
        <v>370</v>
      </c>
      <c r="C223" s="61" t="s">
        <v>3275</v>
      </c>
      <c r="D223" s="3" t="s">
        <v>1684</v>
      </c>
      <c r="E223" s="3">
        <v>1</v>
      </c>
      <c r="F223" s="3" t="s">
        <v>3266</v>
      </c>
      <c r="G223" s="9">
        <v>411.63680900000003</v>
      </c>
      <c r="H223" s="66">
        <v>12143.2858655</v>
      </c>
      <c r="I223" s="9">
        <v>544.65560961618496</v>
      </c>
      <c r="J223" s="10">
        <v>1.3231460299659084</v>
      </c>
      <c r="K223" s="66">
        <v>7025.4263872746278</v>
      </c>
      <c r="L223" s="69">
        <v>19168.712252774629</v>
      </c>
      <c r="M223" s="64">
        <v>0</v>
      </c>
      <c r="N223" s="67">
        <v>0</v>
      </c>
      <c r="O223" s="64">
        <f t="shared" si="6"/>
        <v>19168.712252774629</v>
      </c>
      <c r="P223" s="64">
        <f t="shared" si="7"/>
        <v>46.56705093828144</v>
      </c>
    </row>
    <row r="224" spans="1:16" ht="15">
      <c r="A224" s="3" t="s">
        <v>1690</v>
      </c>
      <c r="B224" s="3" t="s">
        <v>1691</v>
      </c>
      <c r="C224" s="61" t="s">
        <v>3275</v>
      </c>
      <c r="D224" s="3" t="s">
        <v>1684</v>
      </c>
      <c r="E224" s="3">
        <v>1</v>
      </c>
      <c r="F224" s="3" t="s">
        <v>3266</v>
      </c>
      <c r="G224" s="9">
        <v>408.11469899999997</v>
      </c>
      <c r="H224" s="66">
        <v>12039.383620499999</v>
      </c>
      <c r="I224" s="9">
        <v>517.623144082154</v>
      </c>
      <c r="J224" s="10">
        <v>1.2683276180703162</v>
      </c>
      <c r="K224" s="66">
        <v>5783.7201669669103</v>
      </c>
      <c r="L224" s="69">
        <v>17823.103787466909</v>
      </c>
      <c r="M224" s="64">
        <v>0</v>
      </c>
      <c r="N224" s="67">
        <v>0</v>
      </c>
      <c r="O224" s="64">
        <f t="shared" si="6"/>
        <v>17823.103787466909</v>
      </c>
      <c r="P224" s="64">
        <f t="shared" si="7"/>
        <v>43.671800675493216</v>
      </c>
    </row>
    <row r="225" spans="1:16" ht="15">
      <c r="A225" s="3" t="s">
        <v>224</v>
      </c>
      <c r="B225" s="3" t="s">
        <v>225</v>
      </c>
      <c r="C225" s="61" t="s">
        <v>3275</v>
      </c>
      <c r="D225" s="3" t="s">
        <v>1684</v>
      </c>
      <c r="E225" s="3">
        <v>1</v>
      </c>
      <c r="F225" s="3" t="s">
        <v>3266</v>
      </c>
      <c r="G225" s="9">
        <v>246.69321500000001</v>
      </c>
      <c r="H225" s="66">
        <v>7277.4498425000002</v>
      </c>
      <c r="I225" s="9">
        <v>345.11395063823699</v>
      </c>
      <c r="J225" s="10">
        <v>1.3989600428947224</v>
      </c>
      <c r="K225" s="66">
        <v>5198.1195891471543</v>
      </c>
      <c r="L225" s="69">
        <v>12475.569431647154</v>
      </c>
      <c r="M225" s="64">
        <v>0</v>
      </c>
      <c r="N225" s="67">
        <v>0</v>
      </c>
      <c r="O225" s="64">
        <f t="shared" si="6"/>
        <v>12475.569431647154</v>
      </c>
      <c r="P225" s="64">
        <f t="shared" si="7"/>
        <v>50.571189935836514</v>
      </c>
    </row>
    <row r="226" spans="1:16" ht="15">
      <c r="A226" s="3" t="s">
        <v>1754</v>
      </c>
      <c r="B226" s="3" t="s">
        <v>1755</v>
      </c>
      <c r="C226" s="61" t="s">
        <v>3275</v>
      </c>
      <c r="D226" s="3" t="s">
        <v>1684</v>
      </c>
      <c r="E226" s="3">
        <v>1</v>
      </c>
      <c r="F226" s="3" t="s">
        <v>3266</v>
      </c>
      <c r="G226" s="9">
        <v>545.50172299999997</v>
      </c>
      <c r="H226" s="66">
        <v>16092.3008285</v>
      </c>
      <c r="I226" s="9">
        <v>662.81688625092795</v>
      </c>
      <c r="J226" s="10">
        <v>1.2150591983573404</v>
      </c>
      <c r="K226" s="66">
        <v>6196.0342426228253</v>
      </c>
      <c r="L226" s="69">
        <v>22288.335071122827</v>
      </c>
      <c r="M226" s="64">
        <v>0</v>
      </c>
      <c r="N226" s="67">
        <v>0</v>
      </c>
      <c r="O226" s="64">
        <f t="shared" si="6"/>
        <v>22288.335071122827</v>
      </c>
      <c r="P226" s="64">
        <f t="shared" si="7"/>
        <v>40.858413697664581</v>
      </c>
    </row>
    <row r="227" spans="1:16" ht="15">
      <c r="A227" s="3" t="s">
        <v>54</v>
      </c>
      <c r="B227" s="3" t="s">
        <v>1769</v>
      </c>
      <c r="C227" s="61" t="s">
        <v>3275</v>
      </c>
      <c r="D227" s="3" t="s">
        <v>1684</v>
      </c>
      <c r="E227" s="3">
        <v>1</v>
      </c>
      <c r="F227" s="3" t="s">
        <v>3266</v>
      </c>
      <c r="G227" s="9">
        <v>263.61514699999998</v>
      </c>
      <c r="H227" s="66">
        <v>7776.6468364999992</v>
      </c>
      <c r="I227" s="9">
        <v>380.43461894466901</v>
      </c>
      <c r="J227" s="10">
        <v>1.4431440047133144</v>
      </c>
      <c r="K227" s="66">
        <v>6169.8541630641284</v>
      </c>
      <c r="L227" s="69">
        <v>13946.500999564127</v>
      </c>
      <c r="M227" s="64">
        <v>0</v>
      </c>
      <c r="N227" s="67">
        <v>0</v>
      </c>
      <c r="O227" s="64">
        <f t="shared" si="6"/>
        <v>13946.500999564127</v>
      </c>
      <c r="P227" s="64">
        <f t="shared" si="7"/>
        <v>52.904778645227573</v>
      </c>
    </row>
    <row r="228" spans="1:16" ht="15">
      <c r="A228" s="3" t="s">
        <v>136</v>
      </c>
      <c r="B228" s="3" t="s">
        <v>1783</v>
      </c>
      <c r="C228" s="61" t="s">
        <v>3275</v>
      </c>
      <c r="D228" s="3" t="s">
        <v>1684</v>
      </c>
      <c r="E228" s="3">
        <v>1</v>
      </c>
      <c r="F228" s="3" t="s">
        <v>3266</v>
      </c>
      <c r="G228" s="9">
        <v>294.63020799999998</v>
      </c>
      <c r="H228" s="66">
        <v>8691.5911359999991</v>
      </c>
      <c r="I228" s="9">
        <v>376.44796526079602</v>
      </c>
      <c r="J228" s="10">
        <v>1.2776964311167851</v>
      </c>
      <c r="K228" s="66">
        <v>4321.2284890929013</v>
      </c>
      <c r="L228" s="69">
        <v>13012.8196250929</v>
      </c>
      <c r="M228" s="64">
        <v>0</v>
      </c>
      <c r="N228" s="67">
        <v>0</v>
      </c>
      <c r="O228" s="64">
        <f t="shared" si="6"/>
        <v>13012.8196250929</v>
      </c>
      <c r="P228" s="64">
        <f t="shared" si="7"/>
        <v>44.166617243446062</v>
      </c>
    </row>
    <row r="229" spans="1:16" ht="15">
      <c r="A229" s="3" t="str">
        <f>"053983"</f>
        <v>053983</v>
      </c>
      <c r="B229" s="3" t="s">
        <v>2995</v>
      </c>
      <c r="C229" s="61" t="s">
        <v>3275</v>
      </c>
      <c r="D229" s="3" t="s">
        <v>3249</v>
      </c>
      <c r="E229" s="3">
        <v>1</v>
      </c>
      <c r="F229" s="3" t="s">
        <v>3220</v>
      </c>
      <c r="G229" s="9">
        <v>561</v>
      </c>
      <c r="H229" s="66">
        <v>16549.5</v>
      </c>
      <c r="I229" s="9">
        <v>684.8954</v>
      </c>
      <c r="J229" s="10">
        <v>1.2208474153297684</v>
      </c>
      <c r="K229" s="66">
        <v>6543.5713477335148</v>
      </c>
      <c r="L229" s="69">
        <v>23093.071347733516</v>
      </c>
      <c r="M229" s="64">
        <v>0</v>
      </c>
      <c r="N229" s="67">
        <v>0</v>
      </c>
      <c r="O229" s="64">
        <f t="shared" si="6"/>
        <v>23093.071347733516</v>
      </c>
      <c r="P229" s="64">
        <f t="shared" si="7"/>
        <v>41.164120049435859</v>
      </c>
    </row>
    <row r="230" spans="1:16" ht="15">
      <c r="A230" s="3" t="str">
        <f>"133033"</f>
        <v>133033</v>
      </c>
      <c r="B230" s="3" t="s">
        <v>3042</v>
      </c>
      <c r="C230" s="61" t="s">
        <v>3275</v>
      </c>
      <c r="D230" s="3" t="s">
        <v>3249</v>
      </c>
      <c r="E230" s="3">
        <v>1</v>
      </c>
      <c r="F230" s="3" t="s">
        <v>3220</v>
      </c>
      <c r="G230" s="9">
        <v>74</v>
      </c>
      <c r="H230" s="66">
        <v>2183</v>
      </c>
      <c r="I230" s="9">
        <v>74</v>
      </c>
      <c r="J230" s="10">
        <v>1</v>
      </c>
      <c r="K230" s="66">
        <v>0</v>
      </c>
      <c r="L230" s="69">
        <v>2183</v>
      </c>
      <c r="M230" s="64">
        <v>0</v>
      </c>
      <c r="N230" s="67">
        <v>0</v>
      </c>
      <c r="O230" s="64">
        <f t="shared" si="6"/>
        <v>2183</v>
      </c>
      <c r="P230" s="64">
        <f t="shared" si="7"/>
        <v>29.5</v>
      </c>
    </row>
    <row r="231" spans="1:16" ht="15">
      <c r="A231" s="3" t="s">
        <v>218</v>
      </c>
      <c r="B231" s="3" t="s">
        <v>219</v>
      </c>
      <c r="C231" s="61" t="s">
        <v>3275</v>
      </c>
      <c r="D231" s="3" t="s">
        <v>1684</v>
      </c>
      <c r="E231" s="3">
        <v>1</v>
      </c>
      <c r="F231" s="3" t="s">
        <v>3266</v>
      </c>
      <c r="G231" s="9">
        <v>273.86900800000001</v>
      </c>
      <c r="H231" s="66">
        <v>8079.1357360000002</v>
      </c>
      <c r="I231" s="9">
        <v>380.27239389853298</v>
      </c>
      <c r="J231" s="10">
        <v>1.3885192657452243</v>
      </c>
      <c r="K231" s="66">
        <v>5619.7255690483471</v>
      </c>
      <c r="L231" s="69">
        <v>13698.861305048347</v>
      </c>
      <c r="M231" s="64">
        <v>0</v>
      </c>
      <c r="N231" s="67">
        <v>0</v>
      </c>
      <c r="O231" s="64">
        <f t="shared" si="6"/>
        <v>13698.861305048347</v>
      </c>
      <c r="P231" s="64">
        <f t="shared" si="7"/>
        <v>50.019757274062741</v>
      </c>
    </row>
    <row r="232" spans="1:16" ht="15">
      <c r="A232" s="3" t="s">
        <v>603</v>
      </c>
      <c r="B232" s="3" t="s">
        <v>604</v>
      </c>
      <c r="C232" s="61" t="s">
        <v>3275</v>
      </c>
      <c r="D232" s="3" t="s">
        <v>3248</v>
      </c>
      <c r="E232" s="3">
        <v>1</v>
      </c>
      <c r="F232" s="3" t="s">
        <v>1906</v>
      </c>
      <c r="G232" s="9">
        <v>5148.4322199999997</v>
      </c>
      <c r="H232" s="66">
        <v>151878.75048999998</v>
      </c>
      <c r="I232" s="9">
        <v>7585.3680484037504</v>
      </c>
      <c r="J232" s="10">
        <v>1.4733355173516784</v>
      </c>
      <c r="K232" s="66">
        <v>128707.46987384536</v>
      </c>
      <c r="L232" s="69">
        <v>280586.22036384535</v>
      </c>
      <c r="M232" s="64">
        <v>1584996.7361475499</v>
      </c>
      <c r="N232" s="67">
        <v>31770.152744158655</v>
      </c>
      <c r="O232" s="64">
        <f t="shared" si="6"/>
        <v>312356.37310800399</v>
      </c>
      <c r="P232" s="64">
        <f t="shared" si="7"/>
        <v>60.6701923538199</v>
      </c>
    </row>
    <row r="233" spans="1:16" ht="15">
      <c r="A233" s="3" t="str">
        <f>"134478"</f>
        <v>134478</v>
      </c>
      <c r="B233" s="3" t="s">
        <v>2958</v>
      </c>
      <c r="C233" s="61" t="s">
        <v>3275</v>
      </c>
      <c r="D233" s="3" t="s">
        <v>3249</v>
      </c>
      <c r="E233" s="3">
        <v>1</v>
      </c>
      <c r="F233" s="3" t="s">
        <v>3220</v>
      </c>
      <c r="G233" s="9">
        <v>68</v>
      </c>
      <c r="H233" s="66">
        <v>2006</v>
      </c>
      <c r="I233" s="9">
        <v>84.016999999999996</v>
      </c>
      <c r="J233" s="10">
        <v>1.2355441176470587</v>
      </c>
      <c r="K233" s="66">
        <v>845.94248274469987</v>
      </c>
      <c r="L233" s="69">
        <v>2851.9424827447001</v>
      </c>
      <c r="M233" s="64">
        <v>0</v>
      </c>
      <c r="N233" s="67">
        <v>0</v>
      </c>
      <c r="O233" s="64">
        <f t="shared" si="6"/>
        <v>2851.9424827447001</v>
      </c>
      <c r="P233" s="64">
        <f t="shared" si="7"/>
        <v>41.940330628598531</v>
      </c>
    </row>
    <row r="234" spans="1:16" ht="15">
      <c r="A234" s="3" t="s">
        <v>602</v>
      </c>
      <c r="B234" s="3" t="s">
        <v>1726</v>
      </c>
      <c r="C234" s="61" t="s">
        <v>3275</v>
      </c>
      <c r="D234" s="3" t="s">
        <v>3248</v>
      </c>
      <c r="E234" s="3">
        <v>1</v>
      </c>
      <c r="F234" s="3" t="s">
        <v>1908</v>
      </c>
      <c r="G234" s="9">
        <v>37701.131987000001</v>
      </c>
      <c r="H234" s="66">
        <v>1112183.3936165001</v>
      </c>
      <c r="I234" s="9">
        <v>58249.833608929701</v>
      </c>
      <c r="J234" s="10">
        <v>1.5450420329292831</v>
      </c>
      <c r="K234" s="66">
        <v>1085285.6132381377</v>
      </c>
      <c r="L234" s="69">
        <v>2197469.0068546375</v>
      </c>
      <c r="M234" s="64">
        <v>19816907.288299099</v>
      </c>
      <c r="N234" s="67">
        <v>397216.06808878877</v>
      </c>
      <c r="O234" s="64">
        <f t="shared" si="6"/>
        <v>2594685.0749434261</v>
      </c>
      <c r="P234" s="64">
        <f t="shared" si="7"/>
        <v>68.822471320970365</v>
      </c>
    </row>
    <row r="235" spans="1:16" ht="15">
      <c r="A235" s="3" t="s">
        <v>280</v>
      </c>
      <c r="B235" s="3" t="s">
        <v>1706</v>
      </c>
      <c r="C235" s="61" t="s">
        <v>3275</v>
      </c>
      <c r="D235" s="3" t="s">
        <v>1684</v>
      </c>
      <c r="E235" s="3">
        <v>1</v>
      </c>
      <c r="F235" s="3" t="s">
        <v>3266</v>
      </c>
      <c r="G235" s="9">
        <v>153.87720300000001</v>
      </c>
      <c r="H235" s="66">
        <v>4539.3774885000003</v>
      </c>
      <c r="I235" s="9">
        <v>208.20677930469699</v>
      </c>
      <c r="J235" s="10">
        <v>1.3530709893699913</v>
      </c>
      <c r="K235" s="66">
        <v>2869.4322698172559</v>
      </c>
      <c r="L235" s="69">
        <v>7408.8097583172566</v>
      </c>
      <c r="M235" s="64">
        <v>0</v>
      </c>
      <c r="N235" s="67">
        <v>0</v>
      </c>
      <c r="O235" s="64">
        <f t="shared" si="6"/>
        <v>7408.8097583172566</v>
      </c>
      <c r="P235" s="64">
        <f t="shared" si="7"/>
        <v>48.14754631533858</v>
      </c>
    </row>
    <row r="236" spans="1:16" ht="15">
      <c r="A236" s="3" t="str">
        <f>"056440"</f>
        <v>056440</v>
      </c>
      <c r="B236" s="3" t="s">
        <v>2687</v>
      </c>
      <c r="C236" s="61" t="s">
        <v>3275</v>
      </c>
      <c r="D236" s="3" t="s">
        <v>3249</v>
      </c>
      <c r="E236" s="3">
        <v>1</v>
      </c>
      <c r="F236" s="3" t="s">
        <v>3220</v>
      </c>
      <c r="G236" s="9">
        <v>202</v>
      </c>
      <c r="H236" s="66">
        <v>5959</v>
      </c>
      <c r="I236" s="9">
        <v>210.58700000000002</v>
      </c>
      <c r="J236" s="10">
        <v>1.0425099009900991</v>
      </c>
      <c r="K236" s="66">
        <v>453.52488601665442</v>
      </c>
      <c r="L236" s="69">
        <v>6412.5248860166548</v>
      </c>
      <c r="M236" s="64">
        <v>0</v>
      </c>
      <c r="N236" s="67">
        <v>0</v>
      </c>
      <c r="O236" s="64">
        <f t="shared" si="6"/>
        <v>6412.5248860166548</v>
      </c>
      <c r="P236" s="64">
        <f t="shared" si="7"/>
        <v>31.745172703052745</v>
      </c>
    </row>
    <row r="237" spans="1:16" ht="15">
      <c r="A237" s="3" t="s">
        <v>259</v>
      </c>
      <c r="B237" s="3" t="s">
        <v>260</v>
      </c>
      <c r="C237" s="61" t="s">
        <v>3275</v>
      </c>
      <c r="D237" s="3" t="s">
        <v>1684</v>
      </c>
      <c r="E237" s="3">
        <v>1</v>
      </c>
      <c r="F237" s="3" t="s">
        <v>3266</v>
      </c>
      <c r="G237" s="9">
        <v>125.94267499999999</v>
      </c>
      <c r="H237" s="66">
        <v>3715.3089124999997</v>
      </c>
      <c r="I237" s="9">
        <v>176.23551408316601</v>
      </c>
      <c r="J237" s="10">
        <v>1.3993311963809409</v>
      </c>
      <c r="K237" s="66">
        <v>2656.2308271394854</v>
      </c>
      <c r="L237" s="69">
        <v>6371.5397396394856</v>
      </c>
      <c r="M237" s="64">
        <v>0</v>
      </c>
      <c r="N237" s="67">
        <v>0</v>
      </c>
      <c r="O237" s="64">
        <f t="shared" si="6"/>
        <v>6371.5397396394856</v>
      </c>
      <c r="P237" s="64">
        <f t="shared" si="7"/>
        <v>50.590792514447436</v>
      </c>
    </row>
    <row r="238" spans="1:16" ht="15">
      <c r="A238" s="3" t="s">
        <v>38</v>
      </c>
      <c r="B238" s="3" t="s">
        <v>39</v>
      </c>
      <c r="C238" s="61" t="s">
        <v>3275</v>
      </c>
      <c r="D238" s="3" t="s">
        <v>1684</v>
      </c>
      <c r="E238" s="3">
        <v>1</v>
      </c>
      <c r="F238" s="3" t="s">
        <v>3266</v>
      </c>
      <c r="G238" s="9">
        <v>248.12101100000001</v>
      </c>
      <c r="H238" s="66">
        <v>7319.5698245000003</v>
      </c>
      <c r="I238" s="9">
        <v>352.00116670489899</v>
      </c>
      <c r="J238" s="10">
        <v>1.4186673078842926</v>
      </c>
      <c r="K238" s="66">
        <v>5486.4604373420898</v>
      </c>
      <c r="L238" s="69">
        <v>12806.03026184209</v>
      </c>
      <c r="M238" s="64">
        <v>0</v>
      </c>
      <c r="N238" s="67">
        <v>0</v>
      </c>
      <c r="O238" s="64">
        <f t="shared" si="6"/>
        <v>12806.03026184209</v>
      </c>
      <c r="P238" s="64">
        <f t="shared" si="7"/>
        <v>51.612034830222782</v>
      </c>
    </row>
    <row r="239" spans="1:16" ht="15">
      <c r="A239" s="3" t="s">
        <v>395</v>
      </c>
      <c r="B239" s="3" t="s">
        <v>396</v>
      </c>
      <c r="C239" s="61" t="s">
        <v>3275</v>
      </c>
      <c r="D239" s="3" t="s">
        <v>1684</v>
      </c>
      <c r="E239" s="3">
        <v>1</v>
      </c>
      <c r="F239" s="3" t="s">
        <v>3266</v>
      </c>
      <c r="G239" s="9">
        <v>328.76432999999997</v>
      </c>
      <c r="H239" s="66">
        <v>9698.5477350000001</v>
      </c>
      <c r="I239" s="9">
        <v>383.94000272479599</v>
      </c>
      <c r="J239" s="10">
        <v>1.1678274304417271</v>
      </c>
      <c r="K239" s="66">
        <v>2914.1190967049365</v>
      </c>
      <c r="L239" s="69">
        <v>12612.666831704937</v>
      </c>
      <c r="M239" s="64">
        <v>0</v>
      </c>
      <c r="N239" s="67">
        <v>0</v>
      </c>
      <c r="O239" s="64">
        <f t="shared" si="6"/>
        <v>12612.666831704937</v>
      </c>
      <c r="P239" s="64">
        <f t="shared" si="7"/>
        <v>38.36385422866568</v>
      </c>
    </row>
    <row r="240" spans="1:16" ht="15">
      <c r="A240" s="3" t="s">
        <v>42</v>
      </c>
      <c r="B240" s="3" t="s">
        <v>43</v>
      </c>
      <c r="C240" s="61" t="s">
        <v>3275</v>
      </c>
      <c r="D240" s="3" t="s">
        <v>1684</v>
      </c>
      <c r="E240" s="3">
        <v>1</v>
      </c>
      <c r="F240" s="3" t="s">
        <v>3266</v>
      </c>
      <c r="G240" s="9">
        <v>267.63694099999998</v>
      </c>
      <c r="H240" s="66">
        <v>7895.2897594999995</v>
      </c>
      <c r="I240" s="9">
        <v>317.415687059623</v>
      </c>
      <c r="J240" s="10">
        <v>1.1859935548270335</v>
      </c>
      <c r="K240" s="66">
        <v>2629.0788555656768</v>
      </c>
      <c r="L240" s="69">
        <v>10524.368615065676</v>
      </c>
      <c r="M240" s="64">
        <v>0</v>
      </c>
      <c r="N240" s="67">
        <v>0</v>
      </c>
      <c r="O240" s="64">
        <f t="shared" si="6"/>
        <v>10524.368615065676</v>
      </c>
      <c r="P240" s="64">
        <f t="shared" si="7"/>
        <v>39.32330333676051</v>
      </c>
    </row>
    <row r="241" spans="1:16" ht="15">
      <c r="A241" s="3" t="s">
        <v>344</v>
      </c>
      <c r="B241" s="3" t="s">
        <v>345</v>
      </c>
      <c r="C241" s="61" t="s">
        <v>3275</v>
      </c>
      <c r="D241" s="3" t="s">
        <v>1684</v>
      </c>
      <c r="E241" s="3">
        <v>1</v>
      </c>
      <c r="F241" s="3" t="s">
        <v>3266</v>
      </c>
      <c r="G241" s="9">
        <v>1411.5328629999999</v>
      </c>
      <c r="H241" s="66">
        <v>41640.219458499996</v>
      </c>
      <c r="I241" s="9">
        <v>1693.24881016623</v>
      </c>
      <c r="J241" s="10">
        <v>1.1995815716025806</v>
      </c>
      <c r="K241" s="66">
        <v>14878.909144944459</v>
      </c>
      <c r="L241" s="69">
        <v>56519.128603444457</v>
      </c>
      <c r="M241" s="64">
        <v>0</v>
      </c>
      <c r="N241" s="67">
        <v>0</v>
      </c>
      <c r="O241" s="64">
        <f t="shared" si="6"/>
        <v>56519.128603444457</v>
      </c>
      <c r="P241" s="64">
        <f t="shared" si="7"/>
        <v>40.040958368706761</v>
      </c>
    </row>
    <row r="242" spans="1:16" ht="15">
      <c r="A242" s="3" t="s">
        <v>427</v>
      </c>
      <c r="B242" s="3" t="s">
        <v>428</v>
      </c>
      <c r="C242" s="61" t="s">
        <v>3275</v>
      </c>
      <c r="D242" s="3" t="s">
        <v>1684</v>
      </c>
      <c r="E242" s="3">
        <v>1</v>
      </c>
      <c r="F242" s="3" t="s">
        <v>3266</v>
      </c>
      <c r="G242" s="9">
        <v>201.70700500000001</v>
      </c>
      <c r="H242" s="66">
        <v>5950.3566475000007</v>
      </c>
      <c r="I242" s="9">
        <v>284.60721916406902</v>
      </c>
      <c r="J242" s="10">
        <v>1.4109932332993047</v>
      </c>
      <c r="K242" s="66">
        <v>4378.3987631903528</v>
      </c>
      <c r="L242" s="69">
        <v>10328.755410690354</v>
      </c>
      <c r="M242" s="64">
        <v>0</v>
      </c>
      <c r="N242" s="67">
        <v>0</v>
      </c>
      <c r="O242" s="64">
        <f t="shared" si="6"/>
        <v>10328.755410690354</v>
      </c>
      <c r="P242" s="64">
        <f t="shared" si="7"/>
        <v>51.206726363768837</v>
      </c>
    </row>
    <row r="243" spans="1:16" ht="15">
      <c r="A243" s="3" t="s">
        <v>55</v>
      </c>
      <c r="B243" s="3" t="s">
        <v>56</v>
      </c>
      <c r="C243" s="61" t="s">
        <v>3275</v>
      </c>
      <c r="D243" s="3" t="s">
        <v>1684</v>
      </c>
      <c r="E243" s="3">
        <v>1</v>
      </c>
      <c r="F243" s="3" t="s">
        <v>3266</v>
      </c>
      <c r="G243" s="9">
        <v>173.28025400000001</v>
      </c>
      <c r="H243" s="66">
        <v>5111.7674930000003</v>
      </c>
      <c r="I243" s="9">
        <v>239.74261487643199</v>
      </c>
      <c r="J243" s="10">
        <v>1.3835541519718222</v>
      </c>
      <c r="K243" s="66">
        <v>3510.2287924632005</v>
      </c>
      <c r="L243" s="69">
        <v>8621.9962854632013</v>
      </c>
      <c r="M243" s="64">
        <v>0</v>
      </c>
      <c r="N243" s="67">
        <v>0</v>
      </c>
      <c r="O243" s="64">
        <f t="shared" si="6"/>
        <v>8621.9962854632013</v>
      </c>
      <c r="P243" s="64">
        <f t="shared" si="7"/>
        <v>49.7575233555648</v>
      </c>
    </row>
    <row r="244" spans="1:16" ht="15">
      <c r="A244" s="3" t="s">
        <v>429</v>
      </c>
      <c r="B244" s="3" t="s">
        <v>430</v>
      </c>
      <c r="C244" s="61" t="s">
        <v>3275</v>
      </c>
      <c r="D244" s="3" t="s">
        <v>1684</v>
      </c>
      <c r="E244" s="3">
        <v>1</v>
      </c>
      <c r="F244" s="3" t="s">
        <v>3266</v>
      </c>
      <c r="G244" s="9">
        <v>254.726111</v>
      </c>
      <c r="H244" s="66">
        <v>7514.4202745000002</v>
      </c>
      <c r="I244" s="9">
        <v>367.79650441054002</v>
      </c>
      <c r="J244" s="10">
        <v>1.4438900785107971</v>
      </c>
      <c r="K244" s="66">
        <v>5971.8454970738712</v>
      </c>
      <c r="L244" s="69">
        <v>13486.265771573871</v>
      </c>
      <c r="M244" s="64">
        <v>0</v>
      </c>
      <c r="N244" s="67">
        <v>0</v>
      </c>
      <c r="O244" s="64">
        <f t="shared" si="6"/>
        <v>13486.265771573871</v>
      </c>
      <c r="P244" s="64">
        <f t="shared" si="7"/>
        <v>52.944182748402547</v>
      </c>
    </row>
    <row r="245" spans="1:16" ht="15">
      <c r="A245" s="3" t="s">
        <v>222</v>
      </c>
      <c r="B245" s="3" t="s">
        <v>223</v>
      </c>
      <c r="C245" s="61" t="s">
        <v>3275</v>
      </c>
      <c r="D245" s="3" t="s">
        <v>1684</v>
      </c>
      <c r="E245" s="3">
        <v>1</v>
      </c>
      <c r="F245" s="3" t="s">
        <v>3266</v>
      </c>
      <c r="G245" s="9">
        <v>66.160256000000004</v>
      </c>
      <c r="H245" s="66">
        <v>1951.7275520000001</v>
      </c>
      <c r="I245" s="9">
        <v>95.588624814469</v>
      </c>
      <c r="J245" s="10">
        <v>1.4448043371305728</v>
      </c>
      <c r="K245" s="66">
        <v>1554.2678015882254</v>
      </c>
      <c r="L245" s="69">
        <v>3505.9953535882255</v>
      </c>
      <c r="M245" s="64">
        <v>0</v>
      </c>
      <c r="N245" s="67">
        <v>0</v>
      </c>
      <c r="O245" s="64">
        <f t="shared" si="6"/>
        <v>3505.9953535882255</v>
      </c>
      <c r="P245" s="64">
        <f t="shared" si="7"/>
        <v>52.992469581560044</v>
      </c>
    </row>
    <row r="246" spans="1:16" ht="15">
      <c r="A246" s="3" t="s">
        <v>340</v>
      </c>
      <c r="B246" s="3" t="s">
        <v>341</v>
      </c>
      <c r="C246" s="61" t="s">
        <v>3275</v>
      </c>
      <c r="D246" s="3" t="s">
        <v>1684</v>
      </c>
      <c r="E246" s="3">
        <v>1</v>
      </c>
      <c r="F246" s="3" t="s">
        <v>3266</v>
      </c>
      <c r="G246" s="9">
        <v>315.45223299999998</v>
      </c>
      <c r="H246" s="66">
        <v>9305.8408734999994</v>
      </c>
      <c r="I246" s="9">
        <v>374.431466675693</v>
      </c>
      <c r="J246" s="10">
        <v>1.1869672410139289</v>
      </c>
      <c r="K246" s="66">
        <v>3115.0052672782404</v>
      </c>
      <c r="L246" s="69">
        <v>12420.84614077824</v>
      </c>
      <c r="M246" s="64">
        <v>0</v>
      </c>
      <c r="N246" s="67">
        <v>0</v>
      </c>
      <c r="O246" s="64">
        <f t="shared" si="6"/>
        <v>12420.84614077824</v>
      </c>
      <c r="P246" s="64">
        <f t="shared" si="7"/>
        <v>39.374728854045678</v>
      </c>
    </row>
    <row r="247" spans="1:16" ht="15">
      <c r="A247" s="3" t="s">
        <v>34</v>
      </c>
      <c r="B247" s="3" t="s">
        <v>35</v>
      </c>
      <c r="C247" s="61" t="s">
        <v>3275</v>
      </c>
      <c r="D247" s="3" t="s">
        <v>1684</v>
      </c>
      <c r="E247" s="3">
        <v>1</v>
      </c>
      <c r="F247" s="3" t="s">
        <v>3266</v>
      </c>
      <c r="G247" s="9">
        <v>223.98088999999999</v>
      </c>
      <c r="H247" s="66">
        <v>6607.4362549999996</v>
      </c>
      <c r="I247" s="9">
        <v>285.67287420462202</v>
      </c>
      <c r="J247" s="10">
        <v>1.2754341417458517</v>
      </c>
      <c r="K247" s="66">
        <v>3258.2799702506568</v>
      </c>
      <c r="L247" s="69">
        <v>9865.7162252506569</v>
      </c>
      <c r="M247" s="64">
        <v>0</v>
      </c>
      <c r="N247" s="67">
        <v>0</v>
      </c>
      <c r="O247" s="64">
        <f t="shared" si="6"/>
        <v>9865.7162252506569</v>
      </c>
      <c r="P247" s="64">
        <f t="shared" si="7"/>
        <v>44.047133776683616</v>
      </c>
    </row>
    <row r="248" spans="1:16" ht="15">
      <c r="A248" s="3" t="s">
        <v>161</v>
      </c>
      <c r="B248" s="3" t="s">
        <v>1787</v>
      </c>
      <c r="C248" s="61" t="s">
        <v>3275</v>
      </c>
      <c r="D248" s="3" t="s">
        <v>1684</v>
      </c>
      <c r="E248" s="3">
        <v>1</v>
      </c>
      <c r="F248" s="3" t="s">
        <v>3266</v>
      </c>
      <c r="G248" s="9">
        <v>326.422079</v>
      </c>
      <c r="H248" s="66">
        <v>9629.4513305</v>
      </c>
      <c r="I248" s="9">
        <v>461.468250487202</v>
      </c>
      <c r="J248" s="10">
        <v>1.4137164125077519</v>
      </c>
      <c r="K248" s="66">
        <v>7132.502565589697</v>
      </c>
      <c r="L248" s="69">
        <v>16761.953896089697</v>
      </c>
      <c r="M248" s="64">
        <v>0</v>
      </c>
      <c r="N248" s="67">
        <v>0</v>
      </c>
      <c r="O248" s="64">
        <f t="shared" si="6"/>
        <v>16761.953896089697</v>
      </c>
      <c r="P248" s="64">
        <f t="shared" si="7"/>
        <v>51.350551860463142</v>
      </c>
    </row>
    <row r="249" spans="1:16" ht="15">
      <c r="A249" s="3" t="str">
        <f>"056655"</f>
        <v>056655</v>
      </c>
      <c r="B249" s="3" t="s">
        <v>2740</v>
      </c>
      <c r="C249" s="61" t="s">
        <v>3275</v>
      </c>
      <c r="D249" s="3" t="s">
        <v>3249</v>
      </c>
      <c r="E249" s="3">
        <v>1</v>
      </c>
      <c r="F249" s="3" t="s">
        <v>3220</v>
      </c>
      <c r="G249" s="9">
        <v>156</v>
      </c>
      <c r="H249" s="66">
        <v>4602</v>
      </c>
      <c r="I249" s="9">
        <v>167.17400000000001</v>
      </c>
      <c r="J249" s="10">
        <v>1.0716282051282051</v>
      </c>
      <c r="K249" s="66">
        <v>590.15803847095481</v>
      </c>
      <c r="L249" s="69">
        <v>5192.158038470955</v>
      </c>
      <c r="M249" s="64">
        <v>0</v>
      </c>
      <c r="N249" s="67">
        <v>0</v>
      </c>
      <c r="O249" s="64">
        <f t="shared" si="6"/>
        <v>5192.158038470955</v>
      </c>
      <c r="P249" s="64">
        <f t="shared" si="7"/>
        <v>33.28306434917279</v>
      </c>
    </row>
    <row r="250" spans="1:16" ht="15">
      <c r="A250" s="3" t="str">
        <f>"133025"</f>
        <v>133025</v>
      </c>
      <c r="B250" s="3" t="s">
        <v>3043</v>
      </c>
      <c r="C250" s="61" t="s">
        <v>3275</v>
      </c>
      <c r="D250" s="3" t="s">
        <v>3249</v>
      </c>
      <c r="E250" s="3">
        <v>1</v>
      </c>
      <c r="F250" s="3" t="s">
        <v>3220</v>
      </c>
      <c r="G250" s="9">
        <v>13</v>
      </c>
      <c r="H250" s="66">
        <v>383.5</v>
      </c>
      <c r="I250" s="9">
        <v>13</v>
      </c>
      <c r="J250" s="10">
        <v>1</v>
      </c>
      <c r="K250" s="66">
        <v>0</v>
      </c>
      <c r="L250" s="69">
        <v>383.5</v>
      </c>
      <c r="M250" s="64">
        <v>0</v>
      </c>
      <c r="N250" s="67">
        <v>0</v>
      </c>
      <c r="O250" s="64">
        <f t="shared" si="6"/>
        <v>383.5</v>
      </c>
      <c r="P250" s="64">
        <f t="shared" si="7"/>
        <v>29.5</v>
      </c>
    </row>
    <row r="251" spans="1:16" ht="15">
      <c r="A251" s="3" t="s">
        <v>1080</v>
      </c>
      <c r="B251" s="3" t="s">
        <v>1081</v>
      </c>
      <c r="C251" s="61" t="s">
        <v>3275</v>
      </c>
      <c r="D251" s="3" t="s">
        <v>3248</v>
      </c>
      <c r="E251" s="3">
        <v>1</v>
      </c>
      <c r="F251" s="3" t="s">
        <v>1906</v>
      </c>
      <c r="G251" s="9">
        <v>798.89570900000001</v>
      </c>
      <c r="H251" s="66">
        <v>23567.423415500001</v>
      </c>
      <c r="I251" s="9">
        <v>899.01724717964703</v>
      </c>
      <c r="J251" s="10">
        <v>1.1253249166965384</v>
      </c>
      <c r="K251" s="66">
        <v>5287.9479667796004</v>
      </c>
      <c r="L251" s="69">
        <v>28855.371382279602</v>
      </c>
      <c r="M251" s="64">
        <v>447191.54824756645</v>
      </c>
      <c r="N251" s="67">
        <v>8963.6423026674274</v>
      </c>
      <c r="O251" s="64">
        <f t="shared" si="6"/>
        <v>37819.013684947029</v>
      </c>
      <c r="P251" s="64">
        <f t="shared" si="7"/>
        <v>47.339112300760938</v>
      </c>
    </row>
    <row r="252" spans="1:16" ht="15">
      <c r="A252" s="3" t="s">
        <v>466</v>
      </c>
      <c r="B252" s="3" t="s">
        <v>467</v>
      </c>
      <c r="C252" s="61" t="s">
        <v>3275</v>
      </c>
      <c r="D252" s="3" t="s">
        <v>456</v>
      </c>
      <c r="E252" s="3">
        <v>1</v>
      </c>
      <c r="F252" s="3" t="s">
        <v>1897</v>
      </c>
      <c r="G252" s="9">
        <v>429.08220399999999</v>
      </c>
      <c r="H252" s="66">
        <v>12657.925018</v>
      </c>
      <c r="I252" s="9">
        <v>586.57373680318506</v>
      </c>
      <c r="J252" s="10">
        <v>1.3670427981748343</v>
      </c>
      <c r="K252" s="66">
        <v>8317.9608085655709</v>
      </c>
      <c r="L252" s="69">
        <v>20975.885826565573</v>
      </c>
      <c r="M252" s="64">
        <v>0</v>
      </c>
      <c r="N252" s="67">
        <v>0</v>
      </c>
      <c r="O252" s="64">
        <f t="shared" si="6"/>
        <v>20975.885826565573</v>
      </c>
      <c r="P252" s="64">
        <f t="shared" si="7"/>
        <v>48.885471434199992</v>
      </c>
    </row>
    <row r="253" spans="1:16" ht="15">
      <c r="A253" s="3" t="s">
        <v>310</v>
      </c>
      <c r="B253" s="3" t="s">
        <v>311</v>
      </c>
      <c r="C253" s="61" t="s">
        <v>3275</v>
      </c>
      <c r="D253" s="3" t="s">
        <v>1684</v>
      </c>
      <c r="E253" s="3">
        <v>1</v>
      </c>
      <c r="F253" s="3" t="s">
        <v>3266</v>
      </c>
      <c r="G253" s="9">
        <v>305.67455799999999</v>
      </c>
      <c r="H253" s="66">
        <v>9017.3994609999991</v>
      </c>
      <c r="I253" s="9">
        <v>408.40089541881002</v>
      </c>
      <c r="J253" s="10">
        <v>1.3360644016006398</v>
      </c>
      <c r="K253" s="66">
        <v>5425.5211911929782</v>
      </c>
      <c r="L253" s="69">
        <v>14442.920652192977</v>
      </c>
      <c r="M253" s="64">
        <v>0</v>
      </c>
      <c r="N253" s="67">
        <v>0</v>
      </c>
      <c r="O253" s="64">
        <f t="shared" si="6"/>
        <v>14442.920652192977</v>
      </c>
      <c r="P253" s="64">
        <f t="shared" si="7"/>
        <v>47.249338468636886</v>
      </c>
    </row>
    <row r="254" spans="1:16" ht="15">
      <c r="A254" s="3" t="s">
        <v>622</v>
      </c>
      <c r="B254" s="3" t="s">
        <v>1728</v>
      </c>
      <c r="C254" s="61" t="s">
        <v>3275</v>
      </c>
      <c r="D254" s="3" t="s">
        <v>3248</v>
      </c>
      <c r="E254" s="3">
        <v>1</v>
      </c>
      <c r="F254" s="3" t="s">
        <v>1909</v>
      </c>
      <c r="G254" s="9">
        <v>1929.092128</v>
      </c>
      <c r="H254" s="66">
        <v>56908.217775999998</v>
      </c>
      <c r="I254" s="9">
        <v>2896.8256603760501</v>
      </c>
      <c r="J254" s="10">
        <v>1.5016523152677808</v>
      </c>
      <c r="K254" s="66">
        <v>51111.126116844251</v>
      </c>
      <c r="L254" s="69">
        <v>108019.34389284425</v>
      </c>
      <c r="M254" s="64">
        <v>90491.959974047437</v>
      </c>
      <c r="N254" s="67">
        <v>1813.8481455056733</v>
      </c>
      <c r="O254" s="64">
        <f t="shared" si="6"/>
        <v>109833.19203834992</v>
      </c>
      <c r="P254" s="64">
        <f t="shared" si="7"/>
        <v>56.935171962067081</v>
      </c>
    </row>
    <row r="255" spans="1:16" ht="15">
      <c r="A255" s="3" t="s">
        <v>307</v>
      </c>
      <c r="B255" s="61" t="s">
        <v>308</v>
      </c>
      <c r="C255" s="61" t="s">
        <v>3275</v>
      </c>
      <c r="D255" s="3" t="s">
        <v>1684</v>
      </c>
      <c r="E255" s="3">
        <v>1</v>
      </c>
      <c r="F255" s="3" t="s">
        <v>3266</v>
      </c>
      <c r="G255" s="9">
        <v>197.75448600000001</v>
      </c>
      <c r="H255" s="66">
        <v>5833.757337</v>
      </c>
      <c r="I255" s="9">
        <v>255.92310694448699</v>
      </c>
      <c r="J255" s="10">
        <v>1.2941456455480205</v>
      </c>
      <c r="K255" s="66">
        <v>3072.1925216716409</v>
      </c>
      <c r="L255" s="69">
        <v>8905.94985867164</v>
      </c>
      <c r="M255" s="64">
        <v>82674.22</v>
      </c>
      <c r="N255" s="67">
        <v>1657.147006995265</v>
      </c>
      <c r="O255" s="64">
        <f t="shared" si="6"/>
        <v>10563.096865666905</v>
      </c>
      <c r="P255" s="64">
        <f t="shared" si="7"/>
        <v>53.415207307443353</v>
      </c>
    </row>
    <row r="256" spans="1:16" ht="15">
      <c r="A256" s="3" t="str">
        <f>"110619"</f>
        <v>110619</v>
      </c>
      <c r="B256" s="3" t="s">
        <v>2571</v>
      </c>
      <c r="C256" s="61" t="s">
        <v>3275</v>
      </c>
      <c r="D256" s="3" t="s">
        <v>3249</v>
      </c>
      <c r="E256" s="3">
        <v>1</v>
      </c>
      <c r="F256" s="3" t="s">
        <v>3220</v>
      </c>
      <c r="G256" s="9">
        <v>39</v>
      </c>
      <c r="H256" s="66">
        <v>1150.5</v>
      </c>
      <c r="I256" s="9">
        <v>39</v>
      </c>
      <c r="J256" s="10">
        <v>1</v>
      </c>
      <c r="K256" s="66">
        <v>0</v>
      </c>
      <c r="L256" s="69">
        <v>1150.5</v>
      </c>
      <c r="M256" s="64">
        <v>0</v>
      </c>
      <c r="N256" s="67">
        <v>0</v>
      </c>
      <c r="O256" s="64">
        <f t="shared" si="6"/>
        <v>1150.5</v>
      </c>
      <c r="P256" s="64">
        <f t="shared" si="7"/>
        <v>29.5</v>
      </c>
    </row>
    <row r="257" spans="1:16" ht="15">
      <c r="A257" s="3" t="s">
        <v>630</v>
      </c>
      <c r="B257" s="3" t="s">
        <v>631</v>
      </c>
      <c r="C257" s="61" t="s">
        <v>3275</v>
      </c>
      <c r="D257" s="3" t="s">
        <v>3248</v>
      </c>
      <c r="E257" s="3">
        <v>1</v>
      </c>
      <c r="F257" s="3" t="s">
        <v>1909</v>
      </c>
      <c r="G257" s="9">
        <v>5002.180343</v>
      </c>
      <c r="H257" s="66">
        <v>147564.32011850001</v>
      </c>
      <c r="I257" s="9">
        <v>7279.2303485578304</v>
      </c>
      <c r="J257" s="10">
        <v>1.4552114976710728</v>
      </c>
      <c r="K257" s="66">
        <v>120263.05394489755</v>
      </c>
      <c r="L257" s="69">
        <v>267827.37406339752</v>
      </c>
      <c r="M257" s="64">
        <v>1815201.2446849884</v>
      </c>
      <c r="N257" s="67">
        <v>36384.441361815188</v>
      </c>
      <c r="O257" s="64">
        <f t="shared" si="6"/>
        <v>304211.81542521273</v>
      </c>
      <c r="P257" s="64">
        <f t="shared" si="7"/>
        <v>60.815843205438128</v>
      </c>
    </row>
    <row r="258" spans="1:16" ht="15">
      <c r="A258" s="3" t="s">
        <v>1746</v>
      </c>
      <c r="B258" s="3" t="s">
        <v>1747</v>
      </c>
      <c r="C258" s="61" t="s">
        <v>3275</v>
      </c>
      <c r="D258" s="3" t="s">
        <v>1684</v>
      </c>
      <c r="E258" s="3">
        <v>1</v>
      </c>
      <c r="F258" s="3" t="s">
        <v>3266</v>
      </c>
      <c r="G258" s="9">
        <v>251.151521</v>
      </c>
      <c r="H258" s="66">
        <v>7408.9698694999997</v>
      </c>
      <c r="I258" s="9">
        <v>338.94156703838303</v>
      </c>
      <c r="J258" s="10">
        <v>1.3495501269067887</v>
      </c>
      <c r="K258" s="66">
        <v>4636.6566464369889</v>
      </c>
      <c r="L258" s="69">
        <v>12045.626515936989</v>
      </c>
      <c r="M258" s="64">
        <v>0</v>
      </c>
      <c r="N258" s="67">
        <v>0</v>
      </c>
      <c r="O258" s="64">
        <f t="shared" si="6"/>
        <v>12045.626515936989</v>
      </c>
      <c r="P258" s="64">
        <f t="shared" si="7"/>
        <v>47.961590947072104</v>
      </c>
    </row>
    <row r="259" spans="1:16" ht="15">
      <c r="A259" s="3" t="s">
        <v>633</v>
      </c>
      <c r="B259" s="3" t="s">
        <v>634</v>
      </c>
      <c r="C259" s="61" t="s">
        <v>3275</v>
      </c>
      <c r="D259" s="3" t="s">
        <v>3248</v>
      </c>
      <c r="E259" s="3">
        <v>1</v>
      </c>
      <c r="F259" s="3" t="s">
        <v>1906</v>
      </c>
      <c r="G259" s="9">
        <v>1653.2426129999999</v>
      </c>
      <c r="H259" s="66">
        <v>48770.657083499995</v>
      </c>
      <c r="I259" s="9">
        <v>2044.94584482803</v>
      </c>
      <c r="J259" s="10">
        <v>1.2369302779567479</v>
      </c>
      <c r="K259" s="66">
        <v>20687.919362660083</v>
      </c>
      <c r="L259" s="69">
        <v>69458.576446160077</v>
      </c>
      <c r="M259" s="64">
        <v>558438.75924946938</v>
      </c>
      <c r="N259" s="67">
        <v>11193.514961258874</v>
      </c>
      <c r="O259" s="64">
        <f t="shared" ref="O259:O322" si="8">(N259+L259)</f>
        <v>80652.09140741895</v>
      </c>
      <c r="P259" s="64">
        <f t="shared" ref="P259:P322" si="9">O259/G259</f>
        <v>48.784183744856662</v>
      </c>
    </row>
    <row r="260" spans="1:16" ht="15">
      <c r="A260" s="3" t="s">
        <v>239</v>
      </c>
      <c r="B260" s="3" t="s">
        <v>1797</v>
      </c>
      <c r="C260" s="61" t="s">
        <v>3275</v>
      </c>
      <c r="D260" s="3" t="s">
        <v>1684</v>
      </c>
      <c r="E260" s="3">
        <v>1</v>
      </c>
      <c r="F260" s="3" t="s">
        <v>3266</v>
      </c>
      <c r="G260" s="9">
        <v>71.177173999999994</v>
      </c>
      <c r="H260" s="66">
        <v>2099.7266329999998</v>
      </c>
      <c r="I260" s="9">
        <v>95.630147861933395</v>
      </c>
      <c r="J260" s="10">
        <v>1.3435507830352102</v>
      </c>
      <c r="K260" s="66">
        <v>1291.4908796438283</v>
      </c>
      <c r="L260" s="69">
        <v>3391.2175126438278</v>
      </c>
      <c r="M260" s="64">
        <v>0</v>
      </c>
      <c r="N260" s="67">
        <v>0</v>
      </c>
      <c r="O260" s="64">
        <f t="shared" si="8"/>
        <v>3391.2175126438278</v>
      </c>
      <c r="P260" s="64">
        <f t="shared" si="9"/>
        <v>47.6447338671219</v>
      </c>
    </row>
    <row r="261" spans="1:16" ht="15">
      <c r="A261" s="3" t="str">
        <f>"093757"</f>
        <v>093757</v>
      </c>
      <c r="B261" s="3" t="s">
        <v>2881</v>
      </c>
      <c r="C261" s="61" t="s">
        <v>3275</v>
      </c>
      <c r="D261" s="3" t="s">
        <v>3249</v>
      </c>
      <c r="E261" s="3">
        <v>1</v>
      </c>
      <c r="F261" s="3" t="s">
        <v>3220</v>
      </c>
      <c r="G261" s="9">
        <v>375</v>
      </c>
      <c r="H261" s="66">
        <v>11062.5</v>
      </c>
      <c r="I261" s="9">
        <v>395.6472</v>
      </c>
      <c r="J261" s="10">
        <v>1.0550592000000001</v>
      </c>
      <c r="K261" s="66">
        <v>1090.4878335347673</v>
      </c>
      <c r="L261" s="69">
        <v>12152.987833534768</v>
      </c>
      <c r="M261" s="64">
        <v>0</v>
      </c>
      <c r="N261" s="67">
        <v>0</v>
      </c>
      <c r="O261" s="64">
        <f t="shared" si="8"/>
        <v>12152.987833534768</v>
      </c>
      <c r="P261" s="64">
        <f t="shared" si="9"/>
        <v>32.407967556092714</v>
      </c>
    </row>
    <row r="262" spans="1:16" ht="15">
      <c r="A262" s="3" t="s">
        <v>646</v>
      </c>
      <c r="B262" s="3" t="s">
        <v>1730</v>
      </c>
      <c r="C262" s="61" t="s">
        <v>3275</v>
      </c>
      <c r="D262" s="3" t="s">
        <v>3248</v>
      </c>
      <c r="E262" s="3">
        <v>1</v>
      </c>
      <c r="F262" s="3" t="s">
        <v>1909</v>
      </c>
      <c r="G262" s="9">
        <v>3478.5341779999999</v>
      </c>
      <c r="H262" s="66">
        <v>102616.75825099999</v>
      </c>
      <c r="I262" s="9">
        <v>4514.7639271813996</v>
      </c>
      <c r="J262" s="10">
        <v>1.2978926456249986</v>
      </c>
      <c r="K262" s="66">
        <v>54728.77359782924</v>
      </c>
      <c r="L262" s="69">
        <v>157345.53184882924</v>
      </c>
      <c r="M262" s="64">
        <v>1060703.1464201433</v>
      </c>
      <c r="N262" s="67">
        <v>21261.053861779415</v>
      </c>
      <c r="O262" s="64">
        <f t="shared" si="8"/>
        <v>178606.58571060866</v>
      </c>
      <c r="P262" s="64">
        <f t="shared" si="9"/>
        <v>51.345358869895996</v>
      </c>
    </row>
    <row r="263" spans="1:16" ht="15">
      <c r="A263" s="3" t="str">
        <f>"056861"</f>
        <v>056861</v>
      </c>
      <c r="B263" s="3" t="s">
        <v>2889</v>
      </c>
      <c r="C263" s="61" t="s">
        <v>3275</v>
      </c>
      <c r="D263" s="3" t="s">
        <v>3249</v>
      </c>
      <c r="E263" s="3">
        <v>1</v>
      </c>
      <c r="F263" s="3" t="s">
        <v>3220</v>
      </c>
      <c r="G263" s="9">
        <v>632</v>
      </c>
      <c r="H263" s="66">
        <v>18644</v>
      </c>
      <c r="I263" s="9">
        <v>655.59680000000003</v>
      </c>
      <c r="J263" s="10">
        <v>1.0373367088607595</v>
      </c>
      <c r="K263" s="66">
        <v>1246.2718097540217</v>
      </c>
      <c r="L263" s="69">
        <v>19890.27180975402</v>
      </c>
      <c r="M263" s="64">
        <v>0</v>
      </c>
      <c r="N263" s="67">
        <v>0</v>
      </c>
      <c r="O263" s="64">
        <f t="shared" si="8"/>
        <v>19890.27180975402</v>
      </c>
      <c r="P263" s="64">
        <f t="shared" si="9"/>
        <v>31.471949066066486</v>
      </c>
    </row>
    <row r="264" spans="1:16" ht="15">
      <c r="A264" s="3" t="str">
        <f>"052993"</f>
        <v>052993</v>
      </c>
      <c r="B264" s="3" t="s">
        <v>3143</v>
      </c>
      <c r="C264" s="61" t="s">
        <v>3275</v>
      </c>
      <c r="D264" s="3" t="s">
        <v>3249</v>
      </c>
      <c r="E264" s="3">
        <v>1</v>
      </c>
      <c r="F264" s="3" t="s">
        <v>3220</v>
      </c>
      <c r="G264" s="9">
        <v>552</v>
      </c>
      <c r="H264" s="66">
        <v>16284</v>
      </c>
      <c r="I264" s="9">
        <v>552</v>
      </c>
      <c r="J264" s="10">
        <v>1</v>
      </c>
      <c r="K264" s="66">
        <v>0</v>
      </c>
      <c r="L264" s="69">
        <v>16284</v>
      </c>
      <c r="M264" s="64">
        <v>0</v>
      </c>
      <c r="N264" s="67">
        <v>0</v>
      </c>
      <c r="O264" s="64">
        <f t="shared" si="8"/>
        <v>16284</v>
      </c>
      <c r="P264" s="64">
        <f t="shared" si="9"/>
        <v>29.5</v>
      </c>
    </row>
    <row r="265" spans="1:16" ht="15">
      <c r="A265" s="3" t="s">
        <v>1719</v>
      </c>
      <c r="B265" s="3" t="s">
        <v>1720</v>
      </c>
      <c r="C265" s="61" t="s">
        <v>3275</v>
      </c>
      <c r="D265" s="3" t="s">
        <v>1684</v>
      </c>
      <c r="E265" s="3">
        <v>1</v>
      </c>
      <c r="F265" s="3" t="s">
        <v>3266</v>
      </c>
      <c r="G265" s="9">
        <v>181.40909300000001</v>
      </c>
      <c r="H265" s="66">
        <v>5351.5682435000008</v>
      </c>
      <c r="I265" s="9">
        <v>205.22347861882801</v>
      </c>
      <c r="J265" s="10">
        <v>1.1312744869896241</v>
      </c>
      <c r="K265" s="66">
        <v>1257.7636570787936</v>
      </c>
      <c r="L265" s="69">
        <v>6609.3319005787944</v>
      </c>
      <c r="M265" s="64">
        <v>0</v>
      </c>
      <c r="N265" s="67">
        <v>0</v>
      </c>
      <c r="O265" s="64">
        <f t="shared" si="8"/>
        <v>6609.3319005787944</v>
      </c>
      <c r="P265" s="64">
        <f t="shared" si="9"/>
        <v>36.43329995910841</v>
      </c>
    </row>
    <row r="266" spans="1:16" ht="15">
      <c r="A266" s="3" t="s">
        <v>255</v>
      </c>
      <c r="B266" s="3" t="s">
        <v>256</v>
      </c>
      <c r="C266" s="61" t="s">
        <v>3275</v>
      </c>
      <c r="D266" s="3" t="s">
        <v>1684</v>
      </c>
      <c r="E266" s="3">
        <v>1</v>
      </c>
      <c r="F266" s="3" t="s">
        <v>3266</v>
      </c>
      <c r="G266" s="9">
        <v>189.212345</v>
      </c>
      <c r="H266" s="66">
        <v>5581.7641775000002</v>
      </c>
      <c r="I266" s="9">
        <v>227.087272658773</v>
      </c>
      <c r="J266" s="10">
        <v>1.2001715461999745</v>
      </c>
      <c r="K266" s="66">
        <v>2000.3752473895452</v>
      </c>
      <c r="L266" s="69">
        <v>7582.1394248895449</v>
      </c>
      <c r="M266" s="64">
        <v>0</v>
      </c>
      <c r="N266" s="67">
        <v>0</v>
      </c>
      <c r="O266" s="64">
        <f t="shared" si="8"/>
        <v>7582.1394248895449</v>
      </c>
      <c r="P266" s="64">
        <f t="shared" si="9"/>
        <v>40.072118047527738</v>
      </c>
    </row>
    <row r="267" spans="1:16" ht="15">
      <c r="A267" s="3" t="s">
        <v>399</v>
      </c>
      <c r="B267" s="3" t="s">
        <v>400</v>
      </c>
      <c r="C267" s="61" t="s">
        <v>3275</v>
      </c>
      <c r="D267" s="3" t="s">
        <v>1684</v>
      </c>
      <c r="E267" s="3">
        <v>1</v>
      </c>
      <c r="F267" s="3" t="s">
        <v>3266</v>
      </c>
      <c r="G267" s="9">
        <v>254.17856900000001</v>
      </c>
      <c r="H267" s="66">
        <v>7498.2677855000002</v>
      </c>
      <c r="I267" s="9">
        <v>331.640678758185</v>
      </c>
      <c r="J267" s="10">
        <v>1.3047546851134606</v>
      </c>
      <c r="K267" s="66">
        <v>4091.183707778077</v>
      </c>
      <c r="L267" s="69">
        <v>11589.451493278077</v>
      </c>
      <c r="M267" s="64">
        <v>0</v>
      </c>
      <c r="N267" s="67">
        <v>0</v>
      </c>
      <c r="O267" s="64">
        <f t="shared" si="8"/>
        <v>11589.451493278077</v>
      </c>
      <c r="P267" s="64">
        <f t="shared" si="9"/>
        <v>45.59570674614222</v>
      </c>
    </row>
    <row r="268" spans="1:16" ht="15">
      <c r="A268" s="3" t="str">
        <f>"086033"</f>
        <v>086033</v>
      </c>
      <c r="B268" s="3" t="s">
        <v>2787</v>
      </c>
      <c r="C268" s="61" t="s">
        <v>3275</v>
      </c>
      <c r="D268" s="3" t="s">
        <v>3249</v>
      </c>
      <c r="E268" s="3">
        <v>1</v>
      </c>
      <c r="F268" s="3" t="s">
        <v>3220</v>
      </c>
      <c r="G268" s="9">
        <v>129</v>
      </c>
      <c r="H268" s="66">
        <v>3805.5</v>
      </c>
      <c r="I268" s="9">
        <v>139.3236</v>
      </c>
      <c r="J268" s="10">
        <v>1.0800279069767442</v>
      </c>
      <c r="K268" s="66">
        <v>545.24391676738367</v>
      </c>
      <c r="L268" s="69">
        <v>4350.7439167673838</v>
      </c>
      <c r="M268" s="64">
        <v>0</v>
      </c>
      <c r="N268" s="67">
        <v>0</v>
      </c>
      <c r="O268" s="64">
        <f t="shared" si="8"/>
        <v>4350.7439167673838</v>
      </c>
      <c r="P268" s="64">
        <f t="shared" si="9"/>
        <v>33.726697029204523</v>
      </c>
    </row>
    <row r="269" spans="1:16" ht="15">
      <c r="A269" s="3" t="str">
        <f>"132456"</f>
        <v>132456</v>
      </c>
      <c r="B269" s="3" t="s">
        <v>3050</v>
      </c>
      <c r="C269" s="61" t="s">
        <v>3275</v>
      </c>
      <c r="D269" s="3" t="s">
        <v>3249</v>
      </c>
      <c r="E269" s="3">
        <v>1</v>
      </c>
      <c r="F269" s="3" t="s">
        <v>3220</v>
      </c>
      <c r="G269" s="9">
        <v>4</v>
      </c>
      <c r="H269" s="66">
        <v>118</v>
      </c>
      <c r="I269" s="9">
        <v>4</v>
      </c>
      <c r="J269" s="10">
        <v>1</v>
      </c>
      <c r="K269" s="66">
        <v>0</v>
      </c>
      <c r="L269" s="69">
        <v>118</v>
      </c>
      <c r="M269" s="64">
        <v>0</v>
      </c>
      <c r="N269" s="67">
        <v>0</v>
      </c>
      <c r="O269" s="64">
        <f t="shared" si="8"/>
        <v>118</v>
      </c>
      <c r="P269" s="64">
        <f t="shared" si="9"/>
        <v>29.5</v>
      </c>
    </row>
    <row r="270" spans="1:16" ht="15">
      <c r="A270" s="3" t="s">
        <v>151</v>
      </c>
      <c r="B270" s="3" t="s">
        <v>152</v>
      </c>
      <c r="C270" s="61" t="s">
        <v>3275</v>
      </c>
      <c r="D270" s="3" t="s">
        <v>1684</v>
      </c>
      <c r="E270" s="3">
        <v>1</v>
      </c>
      <c r="F270" s="3" t="s">
        <v>3266</v>
      </c>
      <c r="G270" s="9">
        <v>338.37804599999998</v>
      </c>
      <c r="H270" s="66">
        <v>9982.152356999999</v>
      </c>
      <c r="I270" s="9">
        <v>476.92599950037101</v>
      </c>
      <c r="J270" s="10">
        <v>1.4094472296242617</v>
      </c>
      <c r="K270" s="66">
        <v>7317.4501943747964</v>
      </c>
      <c r="L270" s="69">
        <v>17299.602551374795</v>
      </c>
      <c r="M270" s="64">
        <v>0</v>
      </c>
      <c r="N270" s="67">
        <v>0</v>
      </c>
      <c r="O270" s="64">
        <f t="shared" si="8"/>
        <v>17299.602551374795</v>
      </c>
      <c r="P270" s="64">
        <f t="shared" si="9"/>
        <v>51.125073732989158</v>
      </c>
    </row>
    <row r="271" spans="1:16" ht="15">
      <c r="A271" s="3" t="str">
        <f>"053033"</f>
        <v>053033</v>
      </c>
      <c r="B271" s="3" t="s">
        <v>3142</v>
      </c>
      <c r="C271" s="61" t="s">
        <v>3275</v>
      </c>
      <c r="D271" s="3" t="s">
        <v>3249</v>
      </c>
      <c r="E271" s="3">
        <v>1</v>
      </c>
      <c r="F271" s="3" t="s">
        <v>3220</v>
      </c>
      <c r="G271" s="9">
        <v>690</v>
      </c>
      <c r="H271" s="66">
        <v>20355</v>
      </c>
      <c r="I271" s="9">
        <v>690</v>
      </c>
      <c r="J271" s="10">
        <v>1</v>
      </c>
      <c r="K271" s="66">
        <v>0</v>
      </c>
      <c r="L271" s="69">
        <v>20355</v>
      </c>
      <c r="M271" s="64">
        <v>0</v>
      </c>
      <c r="N271" s="67">
        <v>0</v>
      </c>
      <c r="O271" s="64">
        <f t="shared" si="8"/>
        <v>20355</v>
      </c>
      <c r="P271" s="64">
        <f t="shared" si="9"/>
        <v>29.5</v>
      </c>
    </row>
    <row r="272" spans="1:16" ht="15">
      <c r="A272" s="3" t="str">
        <f>"060723"</f>
        <v>060723</v>
      </c>
      <c r="B272" s="3" t="s">
        <v>3131</v>
      </c>
      <c r="C272" s="61" t="s">
        <v>3275</v>
      </c>
      <c r="D272" s="3" t="s">
        <v>3249</v>
      </c>
      <c r="E272" s="3">
        <v>1</v>
      </c>
      <c r="F272" s="3" t="s">
        <v>3220</v>
      </c>
      <c r="G272" s="9">
        <v>510</v>
      </c>
      <c r="H272" s="66">
        <v>15045</v>
      </c>
      <c r="I272" s="9">
        <v>510</v>
      </c>
      <c r="J272" s="10">
        <v>1</v>
      </c>
      <c r="K272" s="66">
        <v>0</v>
      </c>
      <c r="L272" s="69">
        <v>15045</v>
      </c>
      <c r="M272" s="64">
        <v>0</v>
      </c>
      <c r="N272" s="67">
        <v>0</v>
      </c>
      <c r="O272" s="64">
        <f t="shared" si="8"/>
        <v>15045</v>
      </c>
      <c r="P272" s="64">
        <f t="shared" si="9"/>
        <v>29.5</v>
      </c>
    </row>
    <row r="273" spans="1:16" ht="15">
      <c r="A273" s="3" t="str">
        <f>"053058"</f>
        <v>053058</v>
      </c>
      <c r="B273" s="3" t="s">
        <v>2986</v>
      </c>
      <c r="C273" s="61" t="s">
        <v>3275</v>
      </c>
      <c r="D273" s="3" t="s">
        <v>3249</v>
      </c>
      <c r="E273" s="3">
        <v>1</v>
      </c>
      <c r="F273" s="3" t="s">
        <v>3220</v>
      </c>
      <c r="G273" s="9">
        <v>599</v>
      </c>
      <c r="H273" s="66">
        <v>17670.5</v>
      </c>
      <c r="I273" s="9">
        <v>668.92560000000003</v>
      </c>
      <c r="J273" s="10">
        <v>1.1167372287145243</v>
      </c>
      <c r="K273" s="66">
        <v>3693.1407673979406</v>
      </c>
      <c r="L273" s="69">
        <v>21363.640767397941</v>
      </c>
      <c r="M273" s="64">
        <v>0</v>
      </c>
      <c r="N273" s="67">
        <v>0</v>
      </c>
      <c r="O273" s="64">
        <f t="shared" si="8"/>
        <v>21363.640767397941</v>
      </c>
      <c r="P273" s="64">
        <f t="shared" si="9"/>
        <v>35.665510463101739</v>
      </c>
    </row>
    <row r="274" spans="1:16" ht="15">
      <c r="A274" s="3" t="str">
        <f>"087809"</f>
        <v>087809</v>
      </c>
      <c r="B274" s="3" t="s">
        <v>2983</v>
      </c>
      <c r="C274" s="61" t="s">
        <v>3275</v>
      </c>
      <c r="D274" s="3" t="s">
        <v>3249</v>
      </c>
      <c r="E274" s="3">
        <v>1</v>
      </c>
      <c r="F274" s="3" t="s">
        <v>3220</v>
      </c>
      <c r="G274" s="9">
        <v>50</v>
      </c>
      <c r="H274" s="66">
        <v>1475</v>
      </c>
      <c r="I274" s="9">
        <v>57.805999999999997</v>
      </c>
      <c r="J274" s="10">
        <v>1.15612</v>
      </c>
      <c r="K274" s="66">
        <v>412.27614536462045</v>
      </c>
      <c r="L274" s="69">
        <v>1887.2761453646203</v>
      </c>
      <c r="M274" s="64">
        <v>0</v>
      </c>
      <c r="N274" s="67">
        <v>0</v>
      </c>
      <c r="O274" s="64">
        <f t="shared" si="8"/>
        <v>1887.2761453646203</v>
      </c>
      <c r="P274" s="64">
        <f t="shared" si="9"/>
        <v>37.745522907292404</v>
      </c>
    </row>
    <row r="275" spans="1:16" ht="15">
      <c r="A275" s="3" t="str">
        <f>"056739"</f>
        <v>056739</v>
      </c>
      <c r="B275" s="3" t="s">
        <v>2734</v>
      </c>
      <c r="C275" s="61" t="s">
        <v>3275</v>
      </c>
      <c r="D275" s="3" t="s">
        <v>3249</v>
      </c>
      <c r="E275" s="3">
        <v>1</v>
      </c>
      <c r="F275" s="3" t="s">
        <v>3220</v>
      </c>
      <c r="G275" s="9">
        <v>199</v>
      </c>
      <c r="H275" s="66">
        <v>5870.5</v>
      </c>
      <c r="I275" s="9">
        <v>215.3768</v>
      </c>
      <c r="J275" s="10">
        <v>1.0822954773869347</v>
      </c>
      <c r="K275" s="66">
        <v>864.94542370065597</v>
      </c>
      <c r="L275" s="69">
        <v>6735.4454237006557</v>
      </c>
      <c r="M275" s="64">
        <v>0</v>
      </c>
      <c r="N275" s="67">
        <v>0</v>
      </c>
      <c r="O275" s="64">
        <f t="shared" si="8"/>
        <v>6735.4454237006557</v>
      </c>
      <c r="P275" s="64">
        <f t="shared" si="9"/>
        <v>33.846459415581187</v>
      </c>
    </row>
    <row r="276" spans="1:16" ht="15">
      <c r="A276" s="3" t="str">
        <f>"055749"</f>
        <v>055749</v>
      </c>
      <c r="B276" s="3" t="s">
        <v>2615</v>
      </c>
      <c r="C276" s="61" t="s">
        <v>3275</v>
      </c>
      <c r="D276" s="3" t="s">
        <v>3249</v>
      </c>
      <c r="E276" s="3">
        <v>1</v>
      </c>
      <c r="F276" s="3" t="s">
        <v>3220</v>
      </c>
      <c r="G276" s="9">
        <v>176</v>
      </c>
      <c r="H276" s="66">
        <v>5192</v>
      </c>
      <c r="I276" s="9">
        <v>195.6</v>
      </c>
      <c r="J276" s="10">
        <v>1.1113636363636363</v>
      </c>
      <c r="K276" s="66">
        <v>1035.179662970351</v>
      </c>
      <c r="L276" s="69">
        <v>6227.1796629703513</v>
      </c>
      <c r="M276" s="64">
        <v>0</v>
      </c>
      <c r="N276" s="67">
        <v>0</v>
      </c>
      <c r="O276" s="64">
        <f t="shared" si="8"/>
        <v>6227.1796629703513</v>
      </c>
      <c r="P276" s="64">
        <f t="shared" si="9"/>
        <v>35.38170263051336</v>
      </c>
    </row>
    <row r="277" spans="1:16" ht="15">
      <c r="A277" s="3" t="str">
        <f>"053348"</f>
        <v>053348</v>
      </c>
      <c r="B277" s="3" t="s">
        <v>2869</v>
      </c>
      <c r="C277" s="61" t="s">
        <v>3275</v>
      </c>
      <c r="D277" s="3" t="s">
        <v>3249</v>
      </c>
      <c r="E277" s="3">
        <v>1</v>
      </c>
      <c r="F277" s="3" t="s">
        <v>3220</v>
      </c>
      <c r="G277" s="9">
        <v>588</v>
      </c>
      <c r="H277" s="66">
        <v>17346</v>
      </c>
      <c r="I277" s="9">
        <v>612.29759999999999</v>
      </c>
      <c r="J277" s="10">
        <v>1.0413224489795918</v>
      </c>
      <c r="K277" s="66">
        <v>1283.2847642341021</v>
      </c>
      <c r="L277" s="69">
        <v>18629.2847642341</v>
      </c>
      <c r="M277" s="64">
        <v>0</v>
      </c>
      <c r="N277" s="67">
        <v>0</v>
      </c>
      <c r="O277" s="64">
        <f t="shared" si="8"/>
        <v>18629.2847642341</v>
      </c>
      <c r="P277" s="64">
        <f t="shared" si="9"/>
        <v>31.682457082030783</v>
      </c>
    </row>
    <row r="278" spans="1:16" ht="15">
      <c r="A278" s="3" t="s">
        <v>412</v>
      </c>
      <c r="B278" s="3" t="s">
        <v>413</v>
      </c>
      <c r="C278" s="61" t="s">
        <v>3275</v>
      </c>
      <c r="D278" s="3" t="s">
        <v>1684</v>
      </c>
      <c r="E278" s="3">
        <v>1</v>
      </c>
      <c r="F278" s="3" t="s">
        <v>3266</v>
      </c>
      <c r="G278" s="9">
        <v>297.11242800000002</v>
      </c>
      <c r="H278" s="66">
        <v>8764.8166259999998</v>
      </c>
      <c r="I278" s="9">
        <v>410.41612314337902</v>
      </c>
      <c r="J278" s="10">
        <v>1.3813495648972953</v>
      </c>
      <c r="K278" s="66">
        <v>5984.1673955009455</v>
      </c>
      <c r="L278" s="69">
        <v>14748.984021500946</v>
      </c>
      <c r="M278" s="64">
        <v>0</v>
      </c>
      <c r="N278" s="67">
        <v>0</v>
      </c>
      <c r="O278" s="64">
        <f t="shared" si="8"/>
        <v>14748.984021500946</v>
      </c>
      <c r="P278" s="64">
        <f t="shared" si="9"/>
        <v>49.641087452258795</v>
      </c>
    </row>
    <row r="279" spans="1:16" ht="15">
      <c r="A279" s="3" t="s">
        <v>72</v>
      </c>
      <c r="B279" s="3" t="s">
        <v>73</v>
      </c>
      <c r="C279" s="61" t="s">
        <v>3275</v>
      </c>
      <c r="D279" s="3" t="s">
        <v>1684</v>
      </c>
      <c r="E279" s="3">
        <v>1</v>
      </c>
      <c r="F279" s="3" t="s">
        <v>3266</v>
      </c>
      <c r="G279" s="9">
        <v>221.53253799999999</v>
      </c>
      <c r="H279" s="66">
        <v>6535.209871</v>
      </c>
      <c r="I279" s="9">
        <v>303.98239346100701</v>
      </c>
      <c r="J279" s="10">
        <v>1.3721794378621122</v>
      </c>
      <c r="K279" s="66">
        <v>4354.6129381673181</v>
      </c>
      <c r="L279" s="69">
        <v>10889.822809167319</v>
      </c>
      <c r="M279" s="64">
        <v>0</v>
      </c>
      <c r="N279" s="67">
        <v>0</v>
      </c>
      <c r="O279" s="64">
        <f t="shared" si="8"/>
        <v>10889.822809167319</v>
      </c>
      <c r="P279" s="64">
        <f t="shared" si="9"/>
        <v>49.15676454339777</v>
      </c>
    </row>
    <row r="280" spans="1:16" ht="15">
      <c r="A280" s="3" t="s">
        <v>377</v>
      </c>
      <c r="B280" s="3" t="s">
        <v>378</v>
      </c>
      <c r="C280" s="61" t="s">
        <v>3275</v>
      </c>
      <c r="D280" s="3" t="s">
        <v>1684</v>
      </c>
      <c r="E280" s="3">
        <v>1</v>
      </c>
      <c r="F280" s="3" t="s">
        <v>3266</v>
      </c>
      <c r="G280" s="9">
        <v>412.88935099999998</v>
      </c>
      <c r="H280" s="66">
        <v>12180.235854499999</v>
      </c>
      <c r="I280" s="9">
        <v>514.96037919105299</v>
      </c>
      <c r="J280" s="10">
        <v>1.2472115784624656</v>
      </c>
      <c r="K280" s="66">
        <v>5390.9108449924242</v>
      </c>
      <c r="L280" s="69">
        <v>17571.146699492423</v>
      </c>
      <c r="M280" s="64">
        <v>0</v>
      </c>
      <c r="N280" s="67">
        <v>0</v>
      </c>
      <c r="O280" s="64">
        <f t="shared" si="8"/>
        <v>17571.146699492423</v>
      </c>
      <c r="P280" s="64">
        <f t="shared" si="9"/>
        <v>42.556550942609377</v>
      </c>
    </row>
    <row r="281" spans="1:16" ht="15">
      <c r="A281" s="3" t="s">
        <v>120</v>
      </c>
      <c r="B281" s="3" t="s">
        <v>121</v>
      </c>
      <c r="C281" s="61" t="s">
        <v>3275</v>
      </c>
      <c r="D281" s="3" t="s">
        <v>1684</v>
      </c>
      <c r="E281" s="3">
        <v>1</v>
      </c>
      <c r="F281" s="3" t="s">
        <v>3266</v>
      </c>
      <c r="G281" s="9">
        <v>333.68257799999998</v>
      </c>
      <c r="H281" s="66">
        <v>9843.6360509999995</v>
      </c>
      <c r="I281" s="9">
        <v>427.19201152169501</v>
      </c>
      <c r="J281" s="10">
        <v>1.2802346891532799</v>
      </c>
      <c r="K281" s="66">
        <v>4938.7277488539157</v>
      </c>
      <c r="L281" s="69">
        <v>14782.363799853916</v>
      </c>
      <c r="M281" s="64">
        <v>0</v>
      </c>
      <c r="N281" s="67">
        <v>0</v>
      </c>
      <c r="O281" s="64">
        <f t="shared" si="8"/>
        <v>14782.363799853916</v>
      </c>
      <c r="P281" s="64">
        <f t="shared" si="9"/>
        <v>44.30067607501497</v>
      </c>
    </row>
    <row r="282" spans="1:16" ht="15">
      <c r="A282" s="3" t="s">
        <v>114</v>
      </c>
      <c r="B282" s="3" t="s">
        <v>115</v>
      </c>
      <c r="C282" s="61" t="s">
        <v>3275</v>
      </c>
      <c r="D282" s="3" t="s">
        <v>1684</v>
      </c>
      <c r="E282" s="3">
        <v>1</v>
      </c>
      <c r="F282" s="3" t="s">
        <v>3266</v>
      </c>
      <c r="G282" s="9">
        <v>325.71231799999998</v>
      </c>
      <c r="H282" s="66">
        <v>9608.5133809999988</v>
      </c>
      <c r="I282" s="9">
        <v>425.78784310695897</v>
      </c>
      <c r="J282" s="10">
        <v>1.3072512753630614</v>
      </c>
      <c r="K282" s="66">
        <v>5285.5177730511605</v>
      </c>
      <c r="L282" s="69">
        <v>14894.031154051159</v>
      </c>
      <c r="M282" s="64">
        <v>0</v>
      </c>
      <c r="N282" s="67">
        <v>0</v>
      </c>
      <c r="O282" s="64">
        <f t="shared" si="8"/>
        <v>14894.031154051159</v>
      </c>
      <c r="P282" s="64">
        <f t="shared" si="9"/>
        <v>45.727564881507369</v>
      </c>
    </row>
    <row r="283" spans="1:16" ht="15">
      <c r="A283" s="52" t="s">
        <v>3231</v>
      </c>
      <c r="B283" s="52" t="s">
        <v>3232</v>
      </c>
      <c r="C283" s="61" t="s">
        <v>3275</v>
      </c>
      <c r="D283" s="3" t="s">
        <v>1684</v>
      </c>
      <c r="E283" s="3">
        <v>1</v>
      </c>
      <c r="F283" s="3" t="s">
        <v>3266</v>
      </c>
      <c r="G283" s="9">
        <v>41.6</v>
      </c>
      <c r="H283" s="66">
        <v>1227.2</v>
      </c>
      <c r="I283" s="9">
        <v>52.157366000000003</v>
      </c>
      <c r="J283" s="10">
        <v>1.2537828365384616</v>
      </c>
      <c r="K283" s="66">
        <v>557.59033559870659</v>
      </c>
      <c r="L283" s="69">
        <v>1784.7903355987066</v>
      </c>
      <c r="M283" s="64">
        <v>0</v>
      </c>
      <c r="N283" s="67">
        <v>0</v>
      </c>
      <c r="O283" s="64">
        <f t="shared" si="8"/>
        <v>1784.7903355987066</v>
      </c>
      <c r="P283" s="64">
        <f t="shared" si="9"/>
        <v>42.903613836507368</v>
      </c>
    </row>
    <row r="284" spans="1:16" ht="15">
      <c r="A284" s="3" t="str">
        <f>"056945"</f>
        <v>056945</v>
      </c>
      <c r="B284" s="3" t="s">
        <v>2715</v>
      </c>
      <c r="C284" s="61" t="s">
        <v>3275</v>
      </c>
      <c r="D284" s="3" t="s">
        <v>3249</v>
      </c>
      <c r="E284" s="3">
        <v>1</v>
      </c>
      <c r="F284" s="3" t="s">
        <v>3220</v>
      </c>
      <c r="G284" s="9">
        <v>343</v>
      </c>
      <c r="H284" s="66">
        <v>10118.5</v>
      </c>
      <c r="I284" s="9">
        <v>349.26180000000005</v>
      </c>
      <c r="J284" s="10">
        <v>1.018255976676385</v>
      </c>
      <c r="K284" s="66">
        <v>330.71877620345913</v>
      </c>
      <c r="L284" s="69">
        <v>10449.218776203459</v>
      </c>
      <c r="M284" s="64">
        <v>0</v>
      </c>
      <c r="N284" s="67">
        <v>0</v>
      </c>
      <c r="O284" s="64">
        <f t="shared" si="8"/>
        <v>10449.218776203459</v>
      </c>
      <c r="P284" s="64">
        <f t="shared" si="9"/>
        <v>30.46419468280892</v>
      </c>
    </row>
    <row r="285" spans="1:16" ht="15">
      <c r="A285" s="3" t="s">
        <v>1082</v>
      </c>
      <c r="B285" s="3" t="s">
        <v>1083</v>
      </c>
      <c r="C285" s="61" t="s">
        <v>3275</v>
      </c>
      <c r="D285" s="3" t="s">
        <v>3248</v>
      </c>
      <c r="E285" s="3">
        <v>1</v>
      </c>
      <c r="F285" s="3" t="s">
        <v>1906</v>
      </c>
      <c r="G285" s="9">
        <v>1067.079448</v>
      </c>
      <c r="H285" s="66">
        <v>31478.843715999999</v>
      </c>
      <c r="I285" s="9">
        <v>1209.35329209567</v>
      </c>
      <c r="J285" s="10">
        <v>1.1333301324117246</v>
      </c>
      <c r="K285" s="66">
        <v>7514.234182676124</v>
      </c>
      <c r="L285" s="69">
        <v>38993.077898676122</v>
      </c>
      <c r="M285" s="64">
        <v>660115.05827382579</v>
      </c>
      <c r="N285" s="67">
        <v>13231.545372801525</v>
      </c>
      <c r="O285" s="64">
        <f t="shared" si="8"/>
        <v>52224.623271477649</v>
      </c>
      <c r="P285" s="64">
        <f t="shared" si="9"/>
        <v>48.941644756968131</v>
      </c>
    </row>
    <row r="286" spans="1:16" ht="15">
      <c r="A286" s="3" t="str">
        <f>"017611"</f>
        <v>017611</v>
      </c>
      <c r="B286" s="3" t="s">
        <v>3162</v>
      </c>
      <c r="C286" s="61" t="s">
        <v>3275</v>
      </c>
      <c r="D286" s="3" t="s">
        <v>3249</v>
      </c>
      <c r="E286" s="3">
        <v>1</v>
      </c>
      <c r="F286" s="3" t="s">
        <v>3220</v>
      </c>
      <c r="G286" s="9">
        <v>37</v>
      </c>
      <c r="H286" s="66">
        <v>1091.5</v>
      </c>
      <c r="I286" s="9">
        <v>37</v>
      </c>
      <c r="J286" s="10">
        <v>1</v>
      </c>
      <c r="K286" s="66">
        <v>0</v>
      </c>
      <c r="L286" s="69">
        <v>1091.5</v>
      </c>
      <c r="M286" s="64">
        <v>0</v>
      </c>
      <c r="N286" s="67">
        <v>0</v>
      </c>
      <c r="O286" s="64">
        <f t="shared" si="8"/>
        <v>1091.5</v>
      </c>
      <c r="P286" s="64">
        <f t="shared" si="9"/>
        <v>29.5</v>
      </c>
    </row>
    <row r="287" spans="1:16" ht="15">
      <c r="A287" s="3" t="s">
        <v>342</v>
      </c>
      <c r="B287" s="3" t="s">
        <v>343</v>
      </c>
      <c r="C287" s="61" t="s">
        <v>3275</v>
      </c>
      <c r="D287" s="3" t="s">
        <v>1684</v>
      </c>
      <c r="E287" s="3">
        <v>1</v>
      </c>
      <c r="F287" s="3" t="s">
        <v>3266</v>
      </c>
      <c r="G287" s="9">
        <v>243.393945</v>
      </c>
      <c r="H287" s="66">
        <v>7180.1213774999997</v>
      </c>
      <c r="I287" s="9">
        <v>293.092674320497</v>
      </c>
      <c r="J287" s="10">
        <v>1.2041904917581125</v>
      </c>
      <c r="K287" s="66">
        <v>2624.8527483697349</v>
      </c>
      <c r="L287" s="69">
        <v>9804.9741258697341</v>
      </c>
      <c r="M287" s="64">
        <v>0</v>
      </c>
      <c r="N287" s="67">
        <v>0</v>
      </c>
      <c r="O287" s="64">
        <f t="shared" si="8"/>
        <v>9804.9741258697341</v>
      </c>
      <c r="P287" s="64">
        <f t="shared" si="9"/>
        <v>40.284379818362915</v>
      </c>
    </row>
    <row r="288" spans="1:16" ht="15">
      <c r="A288" s="3" t="s">
        <v>387</v>
      </c>
      <c r="B288" s="3" t="s">
        <v>388</v>
      </c>
      <c r="C288" s="61" t="s">
        <v>3275</v>
      </c>
      <c r="D288" s="3" t="s">
        <v>1684</v>
      </c>
      <c r="E288" s="3">
        <v>1</v>
      </c>
      <c r="F288" s="3" t="s">
        <v>3266</v>
      </c>
      <c r="G288" s="9">
        <v>412.595707</v>
      </c>
      <c r="H288" s="66">
        <v>12171.573356500001</v>
      </c>
      <c r="I288" s="9">
        <v>597.29220648537898</v>
      </c>
      <c r="J288" s="10">
        <v>1.4476452283721386</v>
      </c>
      <c r="K288" s="66">
        <v>9754.7989841366489</v>
      </c>
      <c r="L288" s="69">
        <v>21926.372340636648</v>
      </c>
      <c r="M288" s="64">
        <v>0</v>
      </c>
      <c r="N288" s="67">
        <v>0</v>
      </c>
      <c r="O288" s="64">
        <f t="shared" si="8"/>
        <v>21926.372340636648</v>
      </c>
      <c r="P288" s="64">
        <f t="shared" si="9"/>
        <v>53.142512073293695</v>
      </c>
    </row>
    <row r="289" spans="1:16" ht="15">
      <c r="A289" s="3" t="str">
        <f>"010275"</f>
        <v>010275</v>
      </c>
      <c r="B289" s="3" t="s">
        <v>2966</v>
      </c>
      <c r="C289" s="61" t="s">
        <v>3275</v>
      </c>
      <c r="D289" s="3" t="s">
        <v>3249</v>
      </c>
      <c r="E289" s="3">
        <v>1</v>
      </c>
      <c r="F289" s="3" t="s">
        <v>3220</v>
      </c>
      <c r="G289" s="9">
        <v>245</v>
      </c>
      <c r="H289" s="66">
        <v>7227.5</v>
      </c>
      <c r="I289" s="9">
        <v>274.76940000000002</v>
      </c>
      <c r="J289" s="10">
        <v>1.1215077551020409</v>
      </c>
      <c r="K289" s="66">
        <v>1572.2794621851838</v>
      </c>
      <c r="L289" s="69">
        <v>8799.7794621851845</v>
      </c>
      <c r="M289" s="64">
        <v>0</v>
      </c>
      <c r="N289" s="67">
        <v>0</v>
      </c>
      <c r="O289" s="64">
        <f t="shared" si="8"/>
        <v>8799.7794621851845</v>
      </c>
      <c r="P289" s="64">
        <f t="shared" si="9"/>
        <v>35.917467192592589</v>
      </c>
    </row>
    <row r="290" spans="1:16" ht="15">
      <c r="A290" s="3" t="str">
        <f>"064402"</f>
        <v>064402</v>
      </c>
      <c r="B290" s="3" t="s">
        <v>2977</v>
      </c>
      <c r="C290" s="61" t="s">
        <v>3275</v>
      </c>
      <c r="D290" s="3" t="s">
        <v>3249</v>
      </c>
      <c r="E290" s="3">
        <v>1</v>
      </c>
      <c r="F290" s="3" t="s">
        <v>3220</v>
      </c>
      <c r="G290" s="9">
        <v>243</v>
      </c>
      <c r="H290" s="66">
        <v>7168.5</v>
      </c>
      <c r="I290" s="9">
        <v>266.82819999999998</v>
      </c>
      <c r="J290" s="10">
        <v>1.0980584362139918</v>
      </c>
      <c r="K290" s="66">
        <v>1258.4932676117403</v>
      </c>
      <c r="L290" s="69">
        <v>8426.9932676117405</v>
      </c>
      <c r="M290" s="64">
        <v>0</v>
      </c>
      <c r="N290" s="67">
        <v>0</v>
      </c>
      <c r="O290" s="64">
        <f t="shared" si="8"/>
        <v>8426.9932676117405</v>
      </c>
      <c r="P290" s="64">
        <f t="shared" si="9"/>
        <v>34.678984640377536</v>
      </c>
    </row>
    <row r="291" spans="1:16" ht="15">
      <c r="A291" s="3" t="str">
        <f>"056911"</f>
        <v>056911</v>
      </c>
      <c r="B291" s="3" t="s">
        <v>2947</v>
      </c>
      <c r="C291" s="61" t="s">
        <v>3275</v>
      </c>
      <c r="D291" s="3" t="s">
        <v>3249</v>
      </c>
      <c r="E291" s="3">
        <v>1</v>
      </c>
      <c r="F291" s="3" t="s">
        <v>3220</v>
      </c>
      <c r="G291" s="9">
        <v>128</v>
      </c>
      <c r="H291" s="66">
        <v>3776</v>
      </c>
      <c r="I291" s="9">
        <v>224.62459999999999</v>
      </c>
      <c r="J291" s="10">
        <v>1.7548796874999999</v>
      </c>
      <c r="K291" s="66">
        <v>5103.2561664614805</v>
      </c>
      <c r="L291" s="69">
        <v>8879.2561664614805</v>
      </c>
      <c r="M291" s="64">
        <v>0</v>
      </c>
      <c r="N291" s="67">
        <v>0</v>
      </c>
      <c r="O291" s="64">
        <f t="shared" si="8"/>
        <v>8879.2561664614805</v>
      </c>
      <c r="P291" s="64">
        <f t="shared" si="9"/>
        <v>69.369188800480316</v>
      </c>
    </row>
    <row r="292" spans="1:16" ht="15">
      <c r="A292" s="3" t="s">
        <v>270</v>
      </c>
      <c r="B292" s="3" t="s">
        <v>271</v>
      </c>
      <c r="C292" s="61" t="s">
        <v>3275</v>
      </c>
      <c r="D292" s="3" t="s">
        <v>1684</v>
      </c>
      <c r="E292" s="3">
        <v>1</v>
      </c>
      <c r="F292" s="3" t="s">
        <v>3266</v>
      </c>
      <c r="G292" s="9">
        <v>247.99403799999999</v>
      </c>
      <c r="H292" s="66">
        <v>7315.8241209999996</v>
      </c>
      <c r="I292" s="9">
        <v>334.73413538437399</v>
      </c>
      <c r="J292" s="10">
        <v>1.3497668657033359</v>
      </c>
      <c r="K292" s="66">
        <v>4581.2033049169258</v>
      </c>
      <c r="L292" s="69">
        <v>11897.027425916925</v>
      </c>
      <c r="M292" s="64">
        <v>0</v>
      </c>
      <c r="N292" s="67">
        <v>0</v>
      </c>
      <c r="O292" s="64">
        <f t="shared" si="8"/>
        <v>11897.027425916925</v>
      </c>
      <c r="P292" s="64">
        <f t="shared" si="9"/>
        <v>47.973038069233446</v>
      </c>
    </row>
    <row r="293" spans="1:16" ht="15">
      <c r="A293" s="3" t="s">
        <v>452</v>
      </c>
      <c r="B293" s="3" t="s">
        <v>453</v>
      </c>
      <c r="C293" s="61" t="s">
        <v>3275</v>
      </c>
      <c r="D293" s="3" t="s">
        <v>1684</v>
      </c>
      <c r="E293" s="3">
        <v>1</v>
      </c>
      <c r="F293" s="3" t="s">
        <v>3266</v>
      </c>
      <c r="G293" s="9">
        <v>235.19466800000001</v>
      </c>
      <c r="H293" s="66">
        <v>6938.242706</v>
      </c>
      <c r="I293" s="9">
        <v>328.59312570663002</v>
      </c>
      <c r="J293" s="10">
        <v>1.3971112887075741</v>
      </c>
      <c r="K293" s="66">
        <v>4932.8665291173411</v>
      </c>
      <c r="L293" s="69">
        <v>11871.109235117341</v>
      </c>
      <c r="M293" s="64">
        <v>0</v>
      </c>
      <c r="N293" s="67">
        <v>0</v>
      </c>
      <c r="O293" s="64">
        <f t="shared" si="8"/>
        <v>11871.109235117341</v>
      </c>
      <c r="P293" s="64">
        <f t="shared" si="9"/>
        <v>50.47354744928716</v>
      </c>
    </row>
    <row r="294" spans="1:16" ht="15">
      <c r="A294" s="3" t="s">
        <v>320</v>
      </c>
      <c r="B294" s="3" t="s">
        <v>321</v>
      </c>
      <c r="C294" s="61" t="s">
        <v>3275</v>
      </c>
      <c r="D294" s="3" t="s">
        <v>1684</v>
      </c>
      <c r="E294" s="3">
        <v>1</v>
      </c>
      <c r="F294" s="3" t="s">
        <v>3266</v>
      </c>
      <c r="G294" s="9">
        <v>220.447766</v>
      </c>
      <c r="H294" s="66">
        <v>6503.2090969999999</v>
      </c>
      <c r="I294" s="9">
        <v>301.688186307379</v>
      </c>
      <c r="J294" s="10">
        <v>1.3685245796837833</v>
      </c>
      <c r="K294" s="66">
        <v>4290.7362710899124</v>
      </c>
      <c r="L294" s="69">
        <v>10793.945368089913</v>
      </c>
      <c r="M294" s="64">
        <v>0</v>
      </c>
      <c r="N294" s="67">
        <v>0</v>
      </c>
      <c r="O294" s="64">
        <f t="shared" si="8"/>
        <v>10793.945368089913</v>
      </c>
      <c r="P294" s="64">
        <f t="shared" si="9"/>
        <v>48.963732152721896</v>
      </c>
    </row>
    <row r="295" spans="1:16" ht="15">
      <c r="A295" s="3" t="str">
        <f>"056648"</f>
        <v>056648</v>
      </c>
      <c r="B295" s="3" t="s">
        <v>2837</v>
      </c>
      <c r="C295" s="61" t="s">
        <v>3275</v>
      </c>
      <c r="D295" s="3" t="s">
        <v>3249</v>
      </c>
      <c r="E295" s="3">
        <v>1</v>
      </c>
      <c r="F295" s="3" t="s">
        <v>3220</v>
      </c>
      <c r="G295" s="9">
        <v>423</v>
      </c>
      <c r="H295" s="66">
        <v>12478.5</v>
      </c>
      <c r="I295" s="9">
        <v>439.8732</v>
      </c>
      <c r="J295" s="10">
        <v>1.0398893617021276</v>
      </c>
      <c r="K295" s="66">
        <v>891.16293312404753</v>
      </c>
      <c r="L295" s="69">
        <v>13369.662933124047</v>
      </c>
      <c r="M295" s="64">
        <v>0</v>
      </c>
      <c r="N295" s="67">
        <v>0</v>
      </c>
      <c r="O295" s="64">
        <f t="shared" si="8"/>
        <v>13369.662933124047</v>
      </c>
      <c r="P295" s="64">
        <f t="shared" si="9"/>
        <v>31.606768163413825</v>
      </c>
    </row>
    <row r="296" spans="1:16" ht="15">
      <c r="A296" s="3" t="s">
        <v>669</v>
      </c>
      <c r="B296" s="3" t="s">
        <v>670</v>
      </c>
      <c r="C296" s="61" t="s">
        <v>3275</v>
      </c>
      <c r="D296" s="3" t="s">
        <v>3248</v>
      </c>
      <c r="E296" s="3">
        <v>1</v>
      </c>
      <c r="F296" s="3" t="s">
        <v>1906</v>
      </c>
      <c r="G296" s="9">
        <v>4853.7199639999999</v>
      </c>
      <c r="H296" s="66">
        <v>143184.73893799999</v>
      </c>
      <c r="I296" s="9">
        <v>6120.3122797159704</v>
      </c>
      <c r="J296" s="10">
        <v>1.2609529031568107</v>
      </c>
      <c r="K296" s="66">
        <v>66895.439107331389</v>
      </c>
      <c r="L296" s="69">
        <v>210080.17804533138</v>
      </c>
      <c r="M296" s="64">
        <v>47543.543406501471</v>
      </c>
      <c r="N296" s="67">
        <v>952.97712706613243</v>
      </c>
      <c r="O296" s="64">
        <f t="shared" si="8"/>
        <v>211033.15517239753</v>
      </c>
      <c r="P296" s="64">
        <f t="shared" si="9"/>
        <v>43.478642512882629</v>
      </c>
    </row>
    <row r="297" spans="1:16" ht="15">
      <c r="A297" s="3" t="str">
        <f>"060335"</f>
        <v>060335</v>
      </c>
      <c r="B297" s="3" t="s">
        <v>2638</v>
      </c>
      <c r="C297" s="61" t="s">
        <v>3275</v>
      </c>
      <c r="D297" s="3" t="s">
        <v>3249</v>
      </c>
      <c r="E297" s="3">
        <v>1</v>
      </c>
      <c r="F297" s="3" t="s">
        <v>3220</v>
      </c>
      <c r="G297" s="9">
        <v>25</v>
      </c>
      <c r="H297" s="66">
        <v>737.5</v>
      </c>
      <c r="I297" s="9">
        <v>26.4</v>
      </c>
      <c r="J297" s="10">
        <v>1.056</v>
      </c>
      <c r="K297" s="66">
        <v>73.941404497882175</v>
      </c>
      <c r="L297" s="69">
        <v>811.44140449788222</v>
      </c>
      <c r="M297" s="64">
        <v>0</v>
      </c>
      <c r="N297" s="67">
        <v>0</v>
      </c>
      <c r="O297" s="64">
        <f t="shared" si="8"/>
        <v>811.44140449788222</v>
      </c>
      <c r="P297" s="64">
        <f t="shared" si="9"/>
        <v>32.45765617991529</v>
      </c>
    </row>
    <row r="298" spans="1:16" ht="15">
      <c r="A298" s="3" t="str">
        <f>"060764"</f>
        <v>060764</v>
      </c>
      <c r="B298" s="3" t="s">
        <v>2588</v>
      </c>
      <c r="C298" s="61" t="s">
        <v>3275</v>
      </c>
      <c r="D298" s="3" t="s">
        <v>3249</v>
      </c>
      <c r="E298" s="3">
        <v>1</v>
      </c>
      <c r="F298" s="3" t="s">
        <v>3220</v>
      </c>
      <c r="G298" s="9">
        <v>488</v>
      </c>
      <c r="H298" s="66">
        <v>14396</v>
      </c>
      <c r="I298" s="9">
        <v>488</v>
      </c>
      <c r="J298" s="10">
        <v>1</v>
      </c>
      <c r="K298" s="66">
        <v>0</v>
      </c>
      <c r="L298" s="69">
        <v>14396</v>
      </c>
      <c r="M298" s="64">
        <v>0</v>
      </c>
      <c r="N298" s="67">
        <v>0</v>
      </c>
      <c r="O298" s="64">
        <f t="shared" si="8"/>
        <v>14396</v>
      </c>
      <c r="P298" s="64">
        <f t="shared" si="9"/>
        <v>29.5</v>
      </c>
    </row>
    <row r="299" spans="1:16" ht="15">
      <c r="A299" s="3" t="str">
        <f>"069914"</f>
        <v>069914</v>
      </c>
      <c r="B299" s="3" t="s">
        <v>3119</v>
      </c>
      <c r="C299" s="61" t="s">
        <v>3275</v>
      </c>
      <c r="D299" s="3" t="s">
        <v>3249</v>
      </c>
      <c r="E299" s="3">
        <v>1</v>
      </c>
      <c r="F299" s="3" t="s">
        <v>3220</v>
      </c>
      <c r="G299" s="9">
        <v>87</v>
      </c>
      <c r="H299" s="66">
        <v>2566.5</v>
      </c>
      <c r="I299" s="9">
        <v>87</v>
      </c>
      <c r="J299" s="10">
        <v>1</v>
      </c>
      <c r="K299" s="66">
        <v>0</v>
      </c>
      <c r="L299" s="69">
        <v>2566.5</v>
      </c>
      <c r="M299" s="64">
        <v>0</v>
      </c>
      <c r="N299" s="67">
        <v>0</v>
      </c>
      <c r="O299" s="64">
        <f t="shared" si="8"/>
        <v>2566.5</v>
      </c>
      <c r="P299" s="64">
        <f t="shared" si="9"/>
        <v>29.5</v>
      </c>
    </row>
    <row r="300" spans="1:16" ht="15">
      <c r="A300" s="3" t="str">
        <f>"012008"</f>
        <v>012008</v>
      </c>
      <c r="B300" s="3" t="s">
        <v>3192</v>
      </c>
      <c r="C300" s="61" t="s">
        <v>3275</v>
      </c>
      <c r="D300" s="3" t="s">
        <v>3249</v>
      </c>
      <c r="E300" s="3">
        <v>1</v>
      </c>
      <c r="F300" s="3" t="s">
        <v>3220</v>
      </c>
      <c r="G300" s="9">
        <v>14</v>
      </c>
      <c r="H300" s="66">
        <v>413</v>
      </c>
      <c r="I300" s="9">
        <v>14</v>
      </c>
      <c r="J300" s="10">
        <v>1</v>
      </c>
      <c r="K300" s="66">
        <v>0</v>
      </c>
      <c r="L300" s="69">
        <v>413</v>
      </c>
      <c r="M300" s="64">
        <v>0</v>
      </c>
      <c r="N300" s="67">
        <v>0</v>
      </c>
      <c r="O300" s="64">
        <f t="shared" si="8"/>
        <v>413</v>
      </c>
      <c r="P300" s="64">
        <f t="shared" si="9"/>
        <v>29.5</v>
      </c>
    </row>
    <row r="301" spans="1:16" ht="15">
      <c r="A301" s="3" t="str">
        <f>"014785"</f>
        <v>014785</v>
      </c>
      <c r="B301" s="3" t="s">
        <v>3181</v>
      </c>
      <c r="C301" s="61" t="s">
        <v>3275</v>
      </c>
      <c r="D301" s="3" t="s">
        <v>3249</v>
      </c>
      <c r="E301" s="3">
        <v>1</v>
      </c>
      <c r="F301" s="3" t="s">
        <v>3220</v>
      </c>
      <c r="G301" s="9">
        <v>7</v>
      </c>
      <c r="H301" s="66">
        <v>206.5</v>
      </c>
      <c r="I301" s="9">
        <v>7</v>
      </c>
      <c r="J301" s="10">
        <v>1</v>
      </c>
      <c r="K301" s="66">
        <v>0</v>
      </c>
      <c r="L301" s="69">
        <v>206.5</v>
      </c>
      <c r="M301" s="64">
        <v>0</v>
      </c>
      <c r="N301" s="67">
        <v>0</v>
      </c>
      <c r="O301" s="64">
        <f t="shared" si="8"/>
        <v>206.5</v>
      </c>
      <c r="P301" s="64">
        <f t="shared" si="9"/>
        <v>29.5</v>
      </c>
    </row>
    <row r="302" spans="1:16" ht="15">
      <c r="A302" s="3" t="str">
        <f>"015374"</f>
        <v>015374</v>
      </c>
      <c r="B302" s="3" t="s">
        <v>3180</v>
      </c>
      <c r="C302" s="61" t="s">
        <v>3275</v>
      </c>
      <c r="D302" s="3" t="s">
        <v>3249</v>
      </c>
      <c r="E302" s="3">
        <v>1</v>
      </c>
      <c r="F302" s="3" t="s">
        <v>3220</v>
      </c>
      <c r="G302" s="9">
        <v>11</v>
      </c>
      <c r="H302" s="66">
        <v>324.5</v>
      </c>
      <c r="I302" s="9">
        <v>11</v>
      </c>
      <c r="J302" s="10">
        <v>1</v>
      </c>
      <c r="K302" s="66">
        <v>0</v>
      </c>
      <c r="L302" s="69">
        <v>324.5</v>
      </c>
      <c r="M302" s="64">
        <v>0</v>
      </c>
      <c r="N302" s="67">
        <v>0</v>
      </c>
      <c r="O302" s="64">
        <f t="shared" si="8"/>
        <v>324.5</v>
      </c>
      <c r="P302" s="64">
        <f t="shared" si="9"/>
        <v>29.5</v>
      </c>
    </row>
    <row r="303" spans="1:16" ht="15">
      <c r="A303" s="3" t="str">
        <f>"116624"</f>
        <v>116624</v>
      </c>
      <c r="B303" s="3" t="s">
        <v>3073</v>
      </c>
      <c r="C303" s="61" t="s">
        <v>3275</v>
      </c>
      <c r="D303" s="3" t="s">
        <v>3249</v>
      </c>
      <c r="E303" s="3">
        <v>1</v>
      </c>
      <c r="F303" s="3" t="s">
        <v>3220</v>
      </c>
      <c r="G303" s="9">
        <v>15</v>
      </c>
      <c r="H303" s="66">
        <v>442.5</v>
      </c>
      <c r="I303" s="9">
        <v>15</v>
      </c>
      <c r="J303" s="10">
        <v>1</v>
      </c>
      <c r="K303" s="66">
        <v>0</v>
      </c>
      <c r="L303" s="69">
        <v>442.5</v>
      </c>
      <c r="M303" s="64">
        <v>0</v>
      </c>
      <c r="N303" s="67">
        <v>0</v>
      </c>
      <c r="O303" s="64">
        <f t="shared" si="8"/>
        <v>442.5</v>
      </c>
      <c r="P303" s="64">
        <f t="shared" si="9"/>
        <v>29.5</v>
      </c>
    </row>
    <row r="304" spans="1:16" ht="15">
      <c r="A304" s="3" t="str">
        <f>"112516"</f>
        <v>112516</v>
      </c>
      <c r="B304" s="3" t="s">
        <v>3081</v>
      </c>
      <c r="C304" s="61" t="s">
        <v>3275</v>
      </c>
      <c r="D304" s="3" t="s">
        <v>3249</v>
      </c>
      <c r="E304" s="3">
        <v>1</v>
      </c>
      <c r="F304" s="3" t="s">
        <v>3220</v>
      </c>
      <c r="G304" s="9">
        <v>15</v>
      </c>
      <c r="H304" s="66">
        <v>442.5</v>
      </c>
      <c r="I304" s="9">
        <v>15</v>
      </c>
      <c r="J304" s="10">
        <v>1</v>
      </c>
      <c r="K304" s="66">
        <v>0</v>
      </c>
      <c r="L304" s="69">
        <v>442.5</v>
      </c>
      <c r="M304" s="64">
        <v>0</v>
      </c>
      <c r="N304" s="67">
        <v>0</v>
      </c>
      <c r="O304" s="64">
        <f t="shared" si="8"/>
        <v>442.5</v>
      </c>
      <c r="P304" s="64">
        <f t="shared" si="9"/>
        <v>29.5</v>
      </c>
    </row>
    <row r="305" spans="1:16" ht="15">
      <c r="A305" s="3" t="s">
        <v>296</v>
      </c>
      <c r="B305" s="3" t="s">
        <v>297</v>
      </c>
      <c r="C305" s="61" t="s">
        <v>3275</v>
      </c>
      <c r="D305" s="3" t="s">
        <v>1684</v>
      </c>
      <c r="E305" s="3">
        <v>1</v>
      </c>
      <c r="F305" s="3" t="s">
        <v>3266</v>
      </c>
      <c r="G305" s="9">
        <v>425.61538200000001</v>
      </c>
      <c r="H305" s="66">
        <v>12555.653769</v>
      </c>
      <c r="I305" s="9">
        <v>609.15622608433603</v>
      </c>
      <c r="J305" s="10">
        <v>1.4312363975706499</v>
      </c>
      <c r="K305" s="66">
        <v>9693.7627102304486</v>
      </c>
      <c r="L305" s="69">
        <v>22249.416479230451</v>
      </c>
      <c r="M305" s="64">
        <v>0</v>
      </c>
      <c r="N305" s="67">
        <v>0</v>
      </c>
      <c r="O305" s="64">
        <f t="shared" si="8"/>
        <v>22249.416479230451</v>
      </c>
      <c r="P305" s="64">
        <f t="shared" si="9"/>
        <v>52.275874933557851</v>
      </c>
    </row>
    <row r="306" spans="1:16" ht="15">
      <c r="A306" s="3" t="str">
        <f>"060343"</f>
        <v>060343</v>
      </c>
      <c r="B306" s="3" t="s">
        <v>3024</v>
      </c>
      <c r="C306" s="61" t="s">
        <v>3275</v>
      </c>
      <c r="D306" s="3" t="s">
        <v>3249</v>
      </c>
      <c r="E306" s="3">
        <v>1</v>
      </c>
      <c r="F306" s="3" t="s">
        <v>3220</v>
      </c>
      <c r="G306" s="9">
        <v>226</v>
      </c>
      <c r="H306" s="66">
        <v>6667</v>
      </c>
      <c r="I306" s="9">
        <v>260.54540000000003</v>
      </c>
      <c r="J306" s="10">
        <v>1.1528557522123895</v>
      </c>
      <c r="K306" s="66">
        <v>1824.5252821008169</v>
      </c>
      <c r="L306" s="69">
        <v>8491.5252821008162</v>
      </c>
      <c r="M306" s="64">
        <v>0</v>
      </c>
      <c r="N306" s="67">
        <v>0</v>
      </c>
      <c r="O306" s="64">
        <f t="shared" si="8"/>
        <v>8491.5252821008162</v>
      </c>
      <c r="P306" s="64">
        <f t="shared" si="9"/>
        <v>37.573120717260245</v>
      </c>
    </row>
    <row r="307" spans="1:16" ht="15">
      <c r="A307" s="3" t="str">
        <f>"053199"</f>
        <v>053199</v>
      </c>
      <c r="B307" s="3" t="s">
        <v>2728</v>
      </c>
      <c r="C307" s="61" t="s">
        <v>3275</v>
      </c>
      <c r="D307" s="3" t="s">
        <v>3249</v>
      </c>
      <c r="E307" s="3">
        <v>1</v>
      </c>
      <c r="F307" s="3" t="s">
        <v>3220</v>
      </c>
      <c r="G307" s="9">
        <v>334</v>
      </c>
      <c r="H307" s="66">
        <v>9853</v>
      </c>
      <c r="I307" s="9">
        <v>360.63659999999999</v>
      </c>
      <c r="J307" s="10">
        <v>1.0797502994011976</v>
      </c>
      <c r="K307" s="66">
        <v>1406.8197250344924</v>
      </c>
      <c r="L307" s="69">
        <v>11259.819725034493</v>
      </c>
      <c r="M307" s="64">
        <v>0</v>
      </c>
      <c r="N307" s="67">
        <v>0</v>
      </c>
      <c r="O307" s="64">
        <f t="shared" si="8"/>
        <v>11259.819725034493</v>
      </c>
      <c r="P307" s="64">
        <f t="shared" si="9"/>
        <v>33.712035104893694</v>
      </c>
    </row>
    <row r="308" spans="1:16" ht="15">
      <c r="A308" s="3" t="str">
        <f>"053207"</f>
        <v>053207</v>
      </c>
      <c r="B308" s="3" t="s">
        <v>3140</v>
      </c>
      <c r="C308" s="61" t="s">
        <v>3275</v>
      </c>
      <c r="D308" s="3" t="s">
        <v>3249</v>
      </c>
      <c r="E308" s="3">
        <v>1</v>
      </c>
      <c r="F308" s="3" t="s">
        <v>3220</v>
      </c>
      <c r="G308" s="9">
        <v>500</v>
      </c>
      <c r="H308" s="66">
        <v>14750</v>
      </c>
      <c r="I308" s="9">
        <v>500</v>
      </c>
      <c r="J308" s="10">
        <v>1</v>
      </c>
      <c r="K308" s="66">
        <v>0</v>
      </c>
      <c r="L308" s="69">
        <v>14750</v>
      </c>
      <c r="M308" s="64">
        <v>0</v>
      </c>
      <c r="N308" s="67">
        <v>0</v>
      </c>
      <c r="O308" s="64">
        <f t="shared" si="8"/>
        <v>14750</v>
      </c>
      <c r="P308" s="64">
        <f t="shared" si="9"/>
        <v>29.5</v>
      </c>
    </row>
    <row r="309" spans="1:16" ht="15">
      <c r="A309" s="3" t="str">
        <f>"053215"</f>
        <v>053215</v>
      </c>
      <c r="B309" s="3" t="s">
        <v>2971</v>
      </c>
      <c r="C309" s="61" t="s">
        <v>3275</v>
      </c>
      <c r="D309" s="3" t="s">
        <v>3249</v>
      </c>
      <c r="E309" s="3">
        <v>1</v>
      </c>
      <c r="F309" s="3" t="s">
        <v>3220</v>
      </c>
      <c r="G309" s="9">
        <v>701</v>
      </c>
      <c r="H309" s="66">
        <v>20679.5</v>
      </c>
      <c r="I309" s="9">
        <v>727.39739999999995</v>
      </c>
      <c r="J309" s="10">
        <v>1.0376567760342368</v>
      </c>
      <c r="K309" s="66">
        <v>1394.186307923138</v>
      </c>
      <c r="L309" s="69">
        <v>22073.686307923137</v>
      </c>
      <c r="M309" s="64">
        <v>0</v>
      </c>
      <c r="N309" s="67">
        <v>0</v>
      </c>
      <c r="O309" s="64">
        <f t="shared" si="8"/>
        <v>22073.686307923137</v>
      </c>
      <c r="P309" s="64">
        <f t="shared" si="9"/>
        <v>31.488853506309752</v>
      </c>
    </row>
    <row r="310" spans="1:16" ht="15">
      <c r="A310" s="3" t="s">
        <v>691</v>
      </c>
      <c r="B310" s="3" t="s">
        <v>692</v>
      </c>
      <c r="C310" s="61" t="s">
        <v>3275</v>
      </c>
      <c r="D310" s="3" t="s">
        <v>3248</v>
      </c>
      <c r="E310" s="3">
        <v>1</v>
      </c>
      <c r="F310" s="3" t="s">
        <v>1909</v>
      </c>
      <c r="G310" s="9">
        <v>3560.1277839999998</v>
      </c>
      <c r="H310" s="66">
        <v>105023.76962799999</v>
      </c>
      <c r="I310" s="9">
        <v>5158.5553265130902</v>
      </c>
      <c r="J310" s="10">
        <v>1.4489803848324705</v>
      </c>
      <c r="K310" s="66">
        <v>84421.412486797359</v>
      </c>
      <c r="L310" s="69">
        <v>189445.18211479735</v>
      </c>
      <c r="M310" s="64">
        <v>973688.05514299159</v>
      </c>
      <c r="N310" s="67">
        <v>19516.897121342652</v>
      </c>
      <c r="O310" s="64">
        <f t="shared" si="8"/>
        <v>208962.07923614001</v>
      </c>
      <c r="P310" s="64">
        <f t="shared" si="9"/>
        <v>58.695106444005106</v>
      </c>
    </row>
    <row r="311" spans="1:16" ht="15">
      <c r="A311" s="3" t="str">
        <f>"055822"</f>
        <v>055822</v>
      </c>
      <c r="B311" s="3" t="s">
        <v>3018</v>
      </c>
      <c r="C311" s="61" t="s">
        <v>3275</v>
      </c>
      <c r="D311" s="3" t="s">
        <v>3249</v>
      </c>
      <c r="E311" s="3">
        <v>1</v>
      </c>
      <c r="F311" s="3" t="s">
        <v>3220</v>
      </c>
      <c r="G311" s="9">
        <v>313</v>
      </c>
      <c r="H311" s="66">
        <v>9233.5</v>
      </c>
      <c r="I311" s="9">
        <v>370.68439999999998</v>
      </c>
      <c r="J311" s="10">
        <v>1.1842952076677316</v>
      </c>
      <c r="K311" s="66">
        <v>3046.6182525840263</v>
      </c>
      <c r="L311" s="69">
        <v>12280.118252584027</v>
      </c>
      <c r="M311" s="64">
        <v>0</v>
      </c>
      <c r="N311" s="67">
        <v>0</v>
      </c>
      <c r="O311" s="64">
        <f t="shared" si="8"/>
        <v>12280.118252584027</v>
      </c>
      <c r="P311" s="64">
        <f t="shared" si="9"/>
        <v>39.233604640843538</v>
      </c>
    </row>
    <row r="312" spans="1:16" ht="15">
      <c r="A312" s="3" t="s">
        <v>705</v>
      </c>
      <c r="B312" s="3" t="s">
        <v>706</v>
      </c>
      <c r="C312" s="61" t="s">
        <v>3275</v>
      </c>
      <c r="D312" s="3" t="s">
        <v>3248</v>
      </c>
      <c r="E312" s="3">
        <v>1</v>
      </c>
      <c r="F312" s="3" t="s">
        <v>1906</v>
      </c>
      <c r="G312" s="9">
        <v>4195.0340990000004</v>
      </c>
      <c r="H312" s="66">
        <v>123753.50592050001</v>
      </c>
      <c r="I312" s="9">
        <v>5474.4375093031604</v>
      </c>
      <c r="J312" s="10">
        <v>1.3049804554885835</v>
      </c>
      <c r="K312" s="66">
        <v>67572.060769425676</v>
      </c>
      <c r="L312" s="69">
        <v>191325.56668992568</v>
      </c>
      <c r="M312" s="64">
        <v>2027972.4820631684</v>
      </c>
      <c r="N312" s="67">
        <v>40649.292233053282</v>
      </c>
      <c r="O312" s="64">
        <f t="shared" si="8"/>
        <v>231974.85892297895</v>
      </c>
      <c r="P312" s="64">
        <f t="shared" si="9"/>
        <v>55.297490663610198</v>
      </c>
    </row>
    <row r="313" spans="1:16" ht="15">
      <c r="A313" s="3" t="s">
        <v>36</v>
      </c>
      <c r="B313" s="3" t="s">
        <v>37</v>
      </c>
      <c r="C313" s="61" t="s">
        <v>3275</v>
      </c>
      <c r="D313" s="3" t="s">
        <v>1684</v>
      </c>
      <c r="E313" s="3">
        <v>1</v>
      </c>
      <c r="F313" s="3" t="s">
        <v>3266</v>
      </c>
      <c r="G313" s="9">
        <v>501.95416699999998</v>
      </c>
      <c r="H313" s="66">
        <v>14807.6479265</v>
      </c>
      <c r="I313" s="9">
        <v>563.79371773847799</v>
      </c>
      <c r="J313" s="10">
        <v>1.1231976040921641</v>
      </c>
      <c r="K313" s="66">
        <v>3266.0737393722252</v>
      </c>
      <c r="L313" s="69">
        <v>18073.721665872225</v>
      </c>
      <c r="M313" s="64">
        <v>0</v>
      </c>
      <c r="N313" s="67">
        <v>0</v>
      </c>
      <c r="O313" s="64">
        <f t="shared" si="8"/>
        <v>18073.721665872225</v>
      </c>
      <c r="P313" s="64">
        <f t="shared" si="9"/>
        <v>36.006717055249041</v>
      </c>
    </row>
    <row r="314" spans="1:16" ht="15">
      <c r="A314" s="3" t="str">
        <f>"060574"</f>
        <v>060574</v>
      </c>
      <c r="B314" s="3" t="s">
        <v>2668</v>
      </c>
      <c r="C314" s="61" t="s">
        <v>3275</v>
      </c>
      <c r="D314" s="3" t="s">
        <v>3249</v>
      </c>
      <c r="E314" s="3">
        <v>1</v>
      </c>
      <c r="F314" s="3" t="s">
        <v>3220</v>
      </c>
      <c r="G314" s="9">
        <v>108</v>
      </c>
      <c r="H314" s="66">
        <v>3186</v>
      </c>
      <c r="I314" s="9">
        <v>114.1122</v>
      </c>
      <c r="J314" s="10">
        <v>1.0565944444444444</v>
      </c>
      <c r="K314" s="66">
        <v>322.81760897996855</v>
      </c>
      <c r="L314" s="69">
        <v>3508.8176089799686</v>
      </c>
      <c r="M314" s="64">
        <v>0</v>
      </c>
      <c r="N314" s="67">
        <v>0</v>
      </c>
      <c r="O314" s="64">
        <f t="shared" si="8"/>
        <v>3508.8176089799686</v>
      </c>
      <c r="P314" s="64">
        <f t="shared" si="9"/>
        <v>32.489051934999708</v>
      </c>
    </row>
    <row r="315" spans="1:16" ht="15">
      <c r="A315" s="3" t="str">
        <f>"056275"</f>
        <v>056275</v>
      </c>
      <c r="B315" s="3" t="s">
        <v>3026</v>
      </c>
      <c r="C315" s="61" t="s">
        <v>3275</v>
      </c>
      <c r="D315" s="3" t="s">
        <v>3249</v>
      </c>
      <c r="E315" s="3">
        <v>1</v>
      </c>
      <c r="F315" s="3" t="s">
        <v>3220</v>
      </c>
      <c r="G315" s="9">
        <v>468</v>
      </c>
      <c r="H315" s="66">
        <v>13806</v>
      </c>
      <c r="I315" s="9">
        <v>573.51740000000007</v>
      </c>
      <c r="J315" s="10">
        <v>1.2254645299145301</v>
      </c>
      <c r="K315" s="66">
        <v>5572.9319678320326</v>
      </c>
      <c r="L315" s="69">
        <v>19378.931967832032</v>
      </c>
      <c r="M315" s="64">
        <v>0</v>
      </c>
      <c r="N315" s="67">
        <v>0</v>
      </c>
      <c r="O315" s="64">
        <f t="shared" si="8"/>
        <v>19378.931967832032</v>
      </c>
      <c r="P315" s="64">
        <f t="shared" si="9"/>
        <v>41.40797429023938</v>
      </c>
    </row>
    <row r="316" spans="1:16" ht="15">
      <c r="A316" s="3" t="str">
        <f>"133082"</f>
        <v>133082</v>
      </c>
      <c r="B316" s="3" t="s">
        <v>2817</v>
      </c>
      <c r="C316" s="61" t="s">
        <v>3275</v>
      </c>
      <c r="D316" s="3" t="s">
        <v>3249</v>
      </c>
      <c r="E316" s="3">
        <v>1</v>
      </c>
      <c r="F316" s="3" t="s">
        <v>3220</v>
      </c>
      <c r="G316" s="9">
        <v>109</v>
      </c>
      <c r="H316" s="66">
        <v>3215.5</v>
      </c>
      <c r="I316" s="9">
        <v>120.7984</v>
      </c>
      <c r="J316" s="10">
        <v>1.1082422018348623</v>
      </c>
      <c r="K316" s="66">
        <v>623.13590487701003</v>
      </c>
      <c r="L316" s="69">
        <v>3838.63590487701</v>
      </c>
      <c r="M316" s="64">
        <v>0</v>
      </c>
      <c r="N316" s="67">
        <v>0</v>
      </c>
      <c r="O316" s="64">
        <f t="shared" si="8"/>
        <v>3838.63590487701</v>
      </c>
      <c r="P316" s="64">
        <f t="shared" si="9"/>
        <v>35.216843164009269</v>
      </c>
    </row>
    <row r="317" spans="1:16" ht="15">
      <c r="A317" s="3" t="str">
        <f>"091314"</f>
        <v>091314</v>
      </c>
      <c r="B317" s="3" t="s">
        <v>3102</v>
      </c>
      <c r="C317" s="61" t="s">
        <v>3275</v>
      </c>
      <c r="D317" s="3" t="s">
        <v>3249</v>
      </c>
      <c r="E317" s="3">
        <v>1</v>
      </c>
      <c r="F317" s="3" t="s">
        <v>3220</v>
      </c>
      <c r="G317" s="9">
        <v>13</v>
      </c>
      <c r="H317" s="66">
        <v>383.5</v>
      </c>
      <c r="I317" s="9">
        <v>13</v>
      </c>
      <c r="J317" s="10">
        <v>1</v>
      </c>
      <c r="K317" s="66">
        <v>0</v>
      </c>
      <c r="L317" s="69">
        <v>383.5</v>
      </c>
      <c r="M317" s="64">
        <v>0</v>
      </c>
      <c r="N317" s="67">
        <v>0</v>
      </c>
      <c r="O317" s="64">
        <f t="shared" si="8"/>
        <v>383.5</v>
      </c>
      <c r="P317" s="64">
        <f t="shared" si="9"/>
        <v>29.5</v>
      </c>
    </row>
    <row r="318" spans="1:16" ht="15">
      <c r="A318" s="3" t="s">
        <v>226</v>
      </c>
      <c r="B318" s="3" t="s">
        <v>227</v>
      </c>
      <c r="C318" s="61" t="s">
        <v>3275</v>
      </c>
      <c r="D318" s="3" t="s">
        <v>1684</v>
      </c>
      <c r="E318" s="3">
        <v>1</v>
      </c>
      <c r="F318" s="3" t="s">
        <v>3266</v>
      </c>
      <c r="G318" s="9">
        <v>253.06172599999999</v>
      </c>
      <c r="H318" s="66">
        <v>7465.320917</v>
      </c>
      <c r="I318" s="9">
        <v>361.85715796657797</v>
      </c>
      <c r="J318" s="10">
        <v>1.4299165807735699</v>
      </c>
      <c r="K318" s="66">
        <v>5746.0621732589789</v>
      </c>
      <c r="L318" s="69">
        <v>13211.38309025898</v>
      </c>
      <c r="M318" s="64">
        <v>0</v>
      </c>
      <c r="N318" s="67">
        <v>0</v>
      </c>
      <c r="O318" s="64">
        <f t="shared" si="8"/>
        <v>13211.38309025898</v>
      </c>
      <c r="P318" s="64">
        <f t="shared" si="9"/>
        <v>52.206168428089278</v>
      </c>
    </row>
    <row r="319" spans="1:16" ht="15">
      <c r="A319" s="3" t="s">
        <v>142</v>
      </c>
      <c r="B319" s="3" t="s">
        <v>143</v>
      </c>
      <c r="C319" s="61" t="s">
        <v>3275</v>
      </c>
      <c r="D319" s="3" t="s">
        <v>1684</v>
      </c>
      <c r="E319" s="3">
        <v>1</v>
      </c>
      <c r="F319" s="3" t="s">
        <v>3266</v>
      </c>
      <c r="G319" s="9">
        <v>433.95000099999999</v>
      </c>
      <c r="H319" s="66">
        <v>12801.525029499999</v>
      </c>
      <c r="I319" s="9">
        <v>526.90402316882205</v>
      </c>
      <c r="J319" s="10">
        <v>1.2142044520212412</v>
      </c>
      <c r="K319" s="66">
        <v>4909.3935377785619</v>
      </c>
      <c r="L319" s="69">
        <v>17710.918567278561</v>
      </c>
      <c r="M319" s="64">
        <v>0</v>
      </c>
      <c r="N319" s="67">
        <v>0</v>
      </c>
      <c r="O319" s="64">
        <f t="shared" si="8"/>
        <v>17710.918567278561</v>
      </c>
      <c r="P319" s="64">
        <f t="shared" si="9"/>
        <v>40.813270022964147</v>
      </c>
    </row>
    <row r="320" spans="1:16" ht="15">
      <c r="A320" s="3" t="s">
        <v>733</v>
      </c>
      <c r="B320" s="3" t="s">
        <v>734</v>
      </c>
      <c r="C320" s="61" t="s">
        <v>3275</v>
      </c>
      <c r="D320" s="3" t="s">
        <v>3248</v>
      </c>
      <c r="E320" s="3">
        <v>1</v>
      </c>
      <c r="F320" s="3" t="s">
        <v>1906</v>
      </c>
      <c r="G320" s="9">
        <v>3714.384939</v>
      </c>
      <c r="H320" s="66">
        <v>109574.3557005</v>
      </c>
      <c r="I320" s="9">
        <v>4614.3087027624997</v>
      </c>
      <c r="J320" s="10">
        <v>1.2422806947964797</v>
      </c>
      <c r="K320" s="66">
        <v>47529.733595442587</v>
      </c>
      <c r="L320" s="69">
        <v>157104.0892959426</v>
      </c>
      <c r="M320" s="64">
        <v>1665403.0686988647</v>
      </c>
      <c r="N320" s="67">
        <v>33381.84153095189</v>
      </c>
      <c r="O320" s="64">
        <f t="shared" si="8"/>
        <v>190485.93082689447</v>
      </c>
      <c r="P320" s="64">
        <f t="shared" si="9"/>
        <v>51.28330368423736</v>
      </c>
    </row>
    <row r="321" spans="1:16" ht="15">
      <c r="A321" s="3" t="s">
        <v>737</v>
      </c>
      <c r="B321" s="3" t="s">
        <v>738</v>
      </c>
      <c r="C321" s="61" t="s">
        <v>3275</v>
      </c>
      <c r="D321" s="3" t="s">
        <v>3248</v>
      </c>
      <c r="E321" s="3">
        <v>1</v>
      </c>
      <c r="F321" s="3" t="s">
        <v>1906</v>
      </c>
      <c r="G321" s="9">
        <v>3929.9510329999998</v>
      </c>
      <c r="H321" s="66">
        <v>115933.55547349999</v>
      </c>
      <c r="I321" s="9">
        <v>4556.5750831749901</v>
      </c>
      <c r="J321" s="10">
        <v>1.1594483098932267</v>
      </c>
      <c r="K321" s="66">
        <v>33095.33025863587</v>
      </c>
      <c r="L321" s="69">
        <v>149028.88573213585</v>
      </c>
      <c r="M321" s="64">
        <v>2850570.8781866352</v>
      </c>
      <c r="N321" s="67">
        <v>57137.702647994098</v>
      </c>
      <c r="O321" s="64">
        <f t="shared" si="8"/>
        <v>206166.58838012995</v>
      </c>
      <c r="P321" s="64">
        <f t="shared" si="9"/>
        <v>52.460345345002665</v>
      </c>
    </row>
    <row r="322" spans="1:16" ht="15">
      <c r="A322" s="3" t="s">
        <v>205</v>
      </c>
      <c r="B322" s="3" t="s">
        <v>206</v>
      </c>
      <c r="C322" s="61" t="s">
        <v>3275</v>
      </c>
      <c r="D322" s="3" t="s">
        <v>1684</v>
      </c>
      <c r="E322" s="3">
        <v>1</v>
      </c>
      <c r="F322" s="3" t="s">
        <v>3266</v>
      </c>
      <c r="G322" s="9">
        <v>436.77476899999999</v>
      </c>
      <c r="H322" s="66">
        <v>12884.855685500001</v>
      </c>
      <c r="I322" s="9">
        <v>613.671940069485</v>
      </c>
      <c r="J322" s="10">
        <v>1.4050077605775919</v>
      </c>
      <c r="K322" s="66">
        <v>9342.8752004141879</v>
      </c>
      <c r="L322" s="69">
        <v>22227.730885914189</v>
      </c>
      <c r="M322" s="64">
        <v>0</v>
      </c>
      <c r="N322" s="67">
        <v>0</v>
      </c>
      <c r="O322" s="64">
        <f t="shared" si="8"/>
        <v>22227.730885914189</v>
      </c>
      <c r="P322" s="64">
        <f t="shared" si="9"/>
        <v>50.890601892606547</v>
      </c>
    </row>
    <row r="323" spans="1:16" ht="15">
      <c r="A323" s="3" t="s">
        <v>283</v>
      </c>
      <c r="B323" s="3" t="s">
        <v>284</v>
      </c>
      <c r="C323" s="61" t="s">
        <v>3275</v>
      </c>
      <c r="D323" s="3" t="s">
        <v>1684</v>
      </c>
      <c r="E323" s="3">
        <v>1</v>
      </c>
      <c r="F323" s="3" t="s">
        <v>3266</v>
      </c>
      <c r="G323" s="9">
        <v>297.01183600000002</v>
      </c>
      <c r="H323" s="66">
        <v>8761.8491620000004</v>
      </c>
      <c r="I323" s="9">
        <v>408.872864718313</v>
      </c>
      <c r="J323" s="10">
        <v>1.37662145126874</v>
      </c>
      <c r="K323" s="66">
        <v>5907.972551435716</v>
      </c>
      <c r="L323" s="69">
        <v>14669.821713435716</v>
      </c>
      <c r="M323" s="64">
        <v>0</v>
      </c>
      <c r="N323" s="67">
        <v>0</v>
      </c>
      <c r="O323" s="64">
        <f t="shared" ref="O323:O386" si="10">(N323+L323)</f>
        <v>14669.821713435716</v>
      </c>
      <c r="P323" s="64">
        <f t="shared" ref="P323:P386" si="11">O323/G323</f>
        <v>49.391370764886673</v>
      </c>
    </row>
    <row r="324" spans="1:16" ht="15">
      <c r="A324" s="3" t="s">
        <v>8</v>
      </c>
      <c r="B324" s="61" t="s">
        <v>9</v>
      </c>
      <c r="C324" s="61" t="s">
        <v>3275</v>
      </c>
      <c r="D324" s="3" t="s">
        <v>1684</v>
      </c>
      <c r="E324" s="3">
        <v>1</v>
      </c>
      <c r="F324" s="3" t="s">
        <v>3267</v>
      </c>
      <c r="G324" s="9">
        <v>4362.2184969999998</v>
      </c>
      <c r="H324" s="66">
        <v>25737.0891323</v>
      </c>
      <c r="I324" s="9">
        <v>5339.6462558406101</v>
      </c>
      <c r="J324" s="10">
        <v>1.2240666668835618</v>
      </c>
      <c r="K324" s="66">
        <v>0</v>
      </c>
      <c r="L324" s="69">
        <v>25737.0891323</v>
      </c>
      <c r="M324" s="64">
        <v>0</v>
      </c>
      <c r="N324" s="67">
        <v>0</v>
      </c>
      <c r="O324" s="64">
        <f t="shared" si="10"/>
        <v>25737.0891323</v>
      </c>
      <c r="P324" s="64">
        <f t="shared" si="11"/>
        <v>5.9</v>
      </c>
    </row>
    <row r="325" spans="1:16" ht="15">
      <c r="A325" s="3" t="s">
        <v>234</v>
      </c>
      <c r="B325" s="3" t="s">
        <v>235</v>
      </c>
      <c r="C325" s="61" t="s">
        <v>3275</v>
      </c>
      <c r="D325" s="3" t="s">
        <v>1684</v>
      </c>
      <c r="E325" s="3">
        <v>1</v>
      </c>
      <c r="F325" s="3" t="s">
        <v>3266</v>
      </c>
      <c r="G325" s="9">
        <v>158.42927299999999</v>
      </c>
      <c r="H325" s="66">
        <v>4673.6635534999996</v>
      </c>
      <c r="I325" s="9">
        <v>212.31261139133599</v>
      </c>
      <c r="J325" s="10">
        <v>1.340109737114908</v>
      </c>
      <c r="K325" s="66">
        <v>2845.8640854928876</v>
      </c>
      <c r="L325" s="69">
        <v>7519.5276389928877</v>
      </c>
      <c r="M325" s="64">
        <v>0</v>
      </c>
      <c r="N325" s="67">
        <v>0</v>
      </c>
      <c r="O325" s="64">
        <f t="shared" si="10"/>
        <v>7519.5276389928877</v>
      </c>
      <c r="P325" s="64">
        <f t="shared" si="11"/>
        <v>47.462994032629865</v>
      </c>
    </row>
    <row r="326" spans="1:16" ht="15">
      <c r="A326" s="3" t="s">
        <v>1084</v>
      </c>
      <c r="B326" s="3" t="s">
        <v>1085</v>
      </c>
      <c r="C326" s="61" t="s">
        <v>3275</v>
      </c>
      <c r="D326" s="3" t="s">
        <v>3248</v>
      </c>
      <c r="E326" s="3">
        <v>1</v>
      </c>
      <c r="F326" s="3" t="s">
        <v>1906</v>
      </c>
      <c r="G326" s="9">
        <v>3552.5762540000001</v>
      </c>
      <c r="H326" s="66">
        <v>104800.999493</v>
      </c>
      <c r="I326" s="9">
        <v>4243.8290744441601</v>
      </c>
      <c r="J326" s="10">
        <v>1.194577898128393</v>
      </c>
      <c r="K326" s="66">
        <v>36508.717433402577</v>
      </c>
      <c r="L326" s="69">
        <v>141309.71692640259</v>
      </c>
      <c r="M326" s="64">
        <v>2510220.642837957</v>
      </c>
      <c r="N326" s="67">
        <v>50315.61985316161</v>
      </c>
      <c r="O326" s="64">
        <f t="shared" si="10"/>
        <v>191625.33677956421</v>
      </c>
      <c r="P326" s="64">
        <f t="shared" si="11"/>
        <v>53.939823688176972</v>
      </c>
    </row>
    <row r="327" spans="1:16" ht="15">
      <c r="A327" s="3" t="s">
        <v>1086</v>
      </c>
      <c r="B327" s="3" t="s">
        <v>1862</v>
      </c>
      <c r="C327" s="61" t="s">
        <v>3275</v>
      </c>
      <c r="D327" s="3" t="s">
        <v>3248</v>
      </c>
      <c r="E327" s="3">
        <v>1</v>
      </c>
      <c r="F327" s="3" t="s">
        <v>1907</v>
      </c>
      <c r="G327" s="9">
        <v>1994.9324220000001</v>
      </c>
      <c r="H327" s="66">
        <v>58850.506449</v>
      </c>
      <c r="I327" s="9">
        <v>2432.5443846355502</v>
      </c>
      <c r="J327" s="10">
        <v>1.2193617978281321</v>
      </c>
      <c r="K327" s="66">
        <v>23112.602244533817</v>
      </c>
      <c r="L327" s="69">
        <v>81963.10869353381</v>
      </c>
      <c r="M327" s="64">
        <v>1787039.2492943744</v>
      </c>
      <c r="N327" s="67">
        <v>35819.953830241611</v>
      </c>
      <c r="O327" s="64">
        <f t="shared" si="10"/>
        <v>117783.06252377541</v>
      </c>
      <c r="P327" s="64">
        <f t="shared" si="11"/>
        <v>59.041129025159236</v>
      </c>
    </row>
    <row r="328" spans="1:16" ht="15">
      <c r="A328" s="3" t="s">
        <v>1752</v>
      </c>
      <c r="B328" s="3" t="s">
        <v>1753</v>
      </c>
      <c r="C328" s="61" t="s">
        <v>3275</v>
      </c>
      <c r="D328" s="3" t="s">
        <v>1684</v>
      </c>
      <c r="E328" s="3">
        <v>1</v>
      </c>
      <c r="F328" s="3" t="s">
        <v>3266</v>
      </c>
      <c r="G328" s="9">
        <v>159.36970099999999</v>
      </c>
      <c r="H328" s="66">
        <v>4701.4061794999998</v>
      </c>
      <c r="I328" s="9">
        <v>246.09078208763501</v>
      </c>
      <c r="J328" s="10">
        <v>1.5441503657438311</v>
      </c>
      <c r="K328" s="66">
        <v>4580.1989537103336</v>
      </c>
      <c r="L328" s="69">
        <v>9281.6051332103343</v>
      </c>
      <c r="M328" s="64">
        <v>0</v>
      </c>
      <c r="N328" s="67">
        <v>0</v>
      </c>
      <c r="O328" s="64">
        <f t="shared" si="10"/>
        <v>9281.6051332103343</v>
      </c>
      <c r="P328" s="64">
        <f t="shared" si="11"/>
        <v>58.239458786525141</v>
      </c>
    </row>
    <row r="329" spans="1:16" ht="15">
      <c r="A329" s="3" t="str">
        <f>"055814"</f>
        <v>055814</v>
      </c>
      <c r="B329" s="3" t="s">
        <v>3003</v>
      </c>
      <c r="C329" s="61" t="s">
        <v>3275</v>
      </c>
      <c r="D329" s="3" t="s">
        <v>3249</v>
      </c>
      <c r="E329" s="3">
        <v>1</v>
      </c>
      <c r="F329" s="3" t="s">
        <v>3220</v>
      </c>
      <c r="G329" s="9">
        <v>351</v>
      </c>
      <c r="H329" s="66">
        <v>10354.5</v>
      </c>
      <c r="I329" s="9">
        <v>385.4572</v>
      </c>
      <c r="J329" s="10">
        <v>1.0981686609686609</v>
      </c>
      <c r="K329" s="66">
        <v>1819.8669736174488</v>
      </c>
      <c r="L329" s="69">
        <v>12174.366973617449</v>
      </c>
      <c r="M329" s="64">
        <v>0</v>
      </c>
      <c r="N329" s="67">
        <v>0</v>
      </c>
      <c r="O329" s="64">
        <f t="shared" si="10"/>
        <v>12174.366973617449</v>
      </c>
      <c r="P329" s="64">
        <f t="shared" si="11"/>
        <v>34.684806192642306</v>
      </c>
    </row>
    <row r="330" spans="1:16" ht="15">
      <c r="A330" s="3" t="str">
        <f>"055855"</f>
        <v>055855</v>
      </c>
      <c r="B330" s="3" t="s">
        <v>3006</v>
      </c>
      <c r="C330" s="61" t="s">
        <v>3275</v>
      </c>
      <c r="D330" s="3" t="s">
        <v>3249</v>
      </c>
      <c r="E330" s="3">
        <v>1</v>
      </c>
      <c r="F330" s="3" t="s">
        <v>3220</v>
      </c>
      <c r="G330" s="9">
        <v>178</v>
      </c>
      <c r="H330" s="66">
        <v>5251</v>
      </c>
      <c r="I330" s="9">
        <v>202.24860000000001</v>
      </c>
      <c r="J330" s="10">
        <v>1.1362280898876405</v>
      </c>
      <c r="K330" s="66">
        <v>1280.6968150766772</v>
      </c>
      <c r="L330" s="69">
        <v>6531.696815076677</v>
      </c>
      <c r="M330" s="64">
        <v>0</v>
      </c>
      <c r="N330" s="67">
        <v>0</v>
      </c>
      <c r="O330" s="64">
        <f t="shared" si="10"/>
        <v>6531.696815076677</v>
      </c>
      <c r="P330" s="64">
        <f t="shared" si="11"/>
        <v>36.694925927397065</v>
      </c>
    </row>
    <row r="331" spans="1:16" ht="15">
      <c r="A331" s="3" t="str">
        <f>"056481"</f>
        <v>056481</v>
      </c>
      <c r="B331" s="3" t="s">
        <v>2834</v>
      </c>
      <c r="C331" s="61" t="s">
        <v>3275</v>
      </c>
      <c r="D331" s="3" t="s">
        <v>3249</v>
      </c>
      <c r="E331" s="3">
        <v>1</v>
      </c>
      <c r="F331" s="3" t="s">
        <v>3220</v>
      </c>
      <c r="G331" s="9">
        <v>333</v>
      </c>
      <c r="H331" s="66">
        <v>9823.5</v>
      </c>
      <c r="I331" s="9">
        <v>359.97319999999996</v>
      </c>
      <c r="J331" s="10">
        <v>1.0810006006006005</v>
      </c>
      <c r="K331" s="66">
        <v>1424.5973512873391</v>
      </c>
      <c r="L331" s="69">
        <v>11248.097351287339</v>
      </c>
      <c r="M331" s="64">
        <v>0</v>
      </c>
      <c r="N331" s="67">
        <v>0</v>
      </c>
      <c r="O331" s="64">
        <f t="shared" si="10"/>
        <v>11248.097351287339</v>
      </c>
      <c r="P331" s="64">
        <f t="shared" si="11"/>
        <v>33.778070123986005</v>
      </c>
    </row>
    <row r="332" spans="1:16" ht="15">
      <c r="A332" s="3" t="str">
        <f>"053439"</f>
        <v>053439</v>
      </c>
      <c r="B332" s="3" t="s">
        <v>2911</v>
      </c>
      <c r="C332" s="61" t="s">
        <v>3275</v>
      </c>
      <c r="D332" s="3" t="s">
        <v>3249</v>
      </c>
      <c r="E332" s="3">
        <v>1</v>
      </c>
      <c r="F332" s="3" t="s">
        <v>3220</v>
      </c>
      <c r="G332" s="9">
        <v>742</v>
      </c>
      <c r="H332" s="66">
        <v>21889</v>
      </c>
      <c r="I332" s="9">
        <v>777.48380000000009</v>
      </c>
      <c r="J332" s="10">
        <v>1.0478218328840971</v>
      </c>
      <c r="K332" s="66">
        <v>1874.0871492299721</v>
      </c>
      <c r="L332" s="69">
        <v>23763.08714922997</v>
      </c>
      <c r="M332" s="64">
        <v>0</v>
      </c>
      <c r="N332" s="67">
        <v>0</v>
      </c>
      <c r="O332" s="64">
        <f t="shared" si="10"/>
        <v>23763.08714922997</v>
      </c>
      <c r="P332" s="64">
        <f t="shared" si="11"/>
        <v>32.025723920795109</v>
      </c>
    </row>
    <row r="333" spans="1:16" ht="15">
      <c r="A333" s="3" t="s">
        <v>753</v>
      </c>
      <c r="B333" s="3" t="s">
        <v>754</v>
      </c>
      <c r="C333" s="61" t="s">
        <v>3275</v>
      </c>
      <c r="D333" s="3" t="s">
        <v>3248</v>
      </c>
      <c r="E333" s="3">
        <v>1</v>
      </c>
      <c r="F333" s="3" t="s">
        <v>1909</v>
      </c>
      <c r="G333" s="9">
        <v>9805.0293380000003</v>
      </c>
      <c r="H333" s="66">
        <v>289248.36547100003</v>
      </c>
      <c r="I333" s="9">
        <v>12462.7978223187</v>
      </c>
      <c r="J333" s="10">
        <v>1.2710617574613829</v>
      </c>
      <c r="K333" s="66">
        <v>140370.81040052316</v>
      </c>
      <c r="L333" s="69">
        <v>429619.17587152321</v>
      </c>
      <c r="M333" s="64">
        <v>2514723.9514987543</v>
      </c>
      <c r="N333" s="67">
        <v>50405.885530525316</v>
      </c>
      <c r="O333" s="64">
        <f t="shared" si="10"/>
        <v>480025.06140204851</v>
      </c>
      <c r="P333" s="64">
        <f t="shared" si="11"/>
        <v>48.957024487594502</v>
      </c>
    </row>
    <row r="334" spans="1:16" ht="15">
      <c r="A334" s="3" t="str">
        <f>"085688"</f>
        <v>085688</v>
      </c>
      <c r="B334" s="3" t="s">
        <v>3014</v>
      </c>
      <c r="C334" s="61" t="s">
        <v>3275</v>
      </c>
      <c r="D334" s="3" t="s">
        <v>3249</v>
      </c>
      <c r="E334" s="3">
        <v>1</v>
      </c>
      <c r="F334" s="3" t="s">
        <v>3220</v>
      </c>
      <c r="G334" s="9">
        <v>164</v>
      </c>
      <c r="H334" s="66">
        <v>4838</v>
      </c>
      <c r="I334" s="9">
        <v>179.9238</v>
      </c>
      <c r="J334" s="10">
        <v>1.0970963414634147</v>
      </c>
      <c r="K334" s="66">
        <v>841.02009781669824</v>
      </c>
      <c r="L334" s="69">
        <v>5679.0200978166986</v>
      </c>
      <c r="M334" s="64">
        <v>0</v>
      </c>
      <c r="N334" s="67">
        <v>0</v>
      </c>
      <c r="O334" s="64">
        <f t="shared" si="10"/>
        <v>5679.0200978166986</v>
      </c>
      <c r="P334" s="64">
        <f t="shared" si="11"/>
        <v>34.6281713281506</v>
      </c>
    </row>
    <row r="335" spans="1:16" ht="15">
      <c r="A335" s="3" t="s">
        <v>57</v>
      </c>
      <c r="B335" s="3" t="s">
        <v>58</v>
      </c>
      <c r="C335" s="61" t="s">
        <v>3275</v>
      </c>
      <c r="D335" s="3" t="s">
        <v>1684</v>
      </c>
      <c r="E335" s="3">
        <v>1</v>
      </c>
      <c r="F335" s="3" t="s">
        <v>3266</v>
      </c>
      <c r="G335" s="9">
        <v>717.32872699999996</v>
      </c>
      <c r="H335" s="66">
        <v>21161.197446499998</v>
      </c>
      <c r="I335" s="9">
        <v>895.06485805408602</v>
      </c>
      <c r="J335" s="10">
        <v>1.2477750079763446</v>
      </c>
      <c r="K335" s="66">
        <v>9387.1851143991335</v>
      </c>
      <c r="L335" s="69">
        <v>30548.382560899132</v>
      </c>
      <c r="M335" s="64">
        <v>0</v>
      </c>
      <c r="N335" s="67">
        <v>0</v>
      </c>
      <c r="O335" s="64">
        <f t="shared" si="10"/>
        <v>30548.382560899132</v>
      </c>
      <c r="P335" s="64">
        <f t="shared" si="11"/>
        <v>42.586308635174923</v>
      </c>
    </row>
    <row r="336" spans="1:16" ht="15">
      <c r="A336" s="3" t="s">
        <v>468</v>
      </c>
      <c r="B336" s="3" t="s">
        <v>469</v>
      </c>
      <c r="C336" s="61" t="s">
        <v>3275</v>
      </c>
      <c r="D336" s="3" t="s">
        <v>456</v>
      </c>
      <c r="E336" s="3">
        <v>1</v>
      </c>
      <c r="F336" s="3" t="s">
        <v>1897</v>
      </c>
      <c r="G336" s="9">
        <v>608.247749</v>
      </c>
      <c r="H336" s="66">
        <v>17943.308595499999</v>
      </c>
      <c r="I336" s="9">
        <v>761.67120897738801</v>
      </c>
      <c r="J336" s="10">
        <v>1.2522384344695503</v>
      </c>
      <c r="K336" s="66">
        <v>8103.1043668947814</v>
      </c>
      <c r="L336" s="69">
        <v>26046.412962394781</v>
      </c>
      <c r="M336" s="64">
        <v>0</v>
      </c>
      <c r="N336" s="67">
        <v>0</v>
      </c>
      <c r="O336" s="64">
        <f t="shared" si="10"/>
        <v>26046.412962394781</v>
      </c>
      <c r="P336" s="64">
        <f t="shared" si="11"/>
        <v>42.822045795018276</v>
      </c>
    </row>
    <row r="337" spans="1:16" ht="15">
      <c r="A337" s="3" t="s">
        <v>127</v>
      </c>
      <c r="B337" s="3" t="s">
        <v>128</v>
      </c>
      <c r="C337" s="61" t="s">
        <v>3275</v>
      </c>
      <c r="D337" s="3" t="s">
        <v>1684</v>
      </c>
      <c r="E337" s="3">
        <v>1</v>
      </c>
      <c r="F337" s="3" t="s">
        <v>3266</v>
      </c>
      <c r="G337" s="9">
        <v>201.508104</v>
      </c>
      <c r="H337" s="66">
        <v>5944.4890679999999</v>
      </c>
      <c r="I337" s="9">
        <v>279.66748887254801</v>
      </c>
      <c r="J337" s="10">
        <v>1.3878721665335505</v>
      </c>
      <c r="K337" s="66">
        <v>4128.0104944048071</v>
      </c>
      <c r="L337" s="69">
        <v>10072.499562404806</v>
      </c>
      <c r="M337" s="64">
        <v>0</v>
      </c>
      <c r="N337" s="67">
        <v>0</v>
      </c>
      <c r="O337" s="64">
        <f t="shared" si="10"/>
        <v>10072.499562404806</v>
      </c>
      <c r="P337" s="64">
        <f t="shared" si="11"/>
        <v>49.985580542233706</v>
      </c>
    </row>
    <row r="338" spans="1:16" ht="15">
      <c r="A338" s="3" t="str">
        <f>"068189"</f>
        <v>068189</v>
      </c>
      <c r="B338" s="3" t="s">
        <v>2957</v>
      </c>
      <c r="C338" s="61" t="s">
        <v>3275</v>
      </c>
      <c r="D338" s="3" t="s">
        <v>3249</v>
      </c>
      <c r="E338" s="3">
        <v>1</v>
      </c>
      <c r="F338" s="3" t="s">
        <v>3220</v>
      </c>
      <c r="G338" s="9">
        <v>155</v>
      </c>
      <c r="H338" s="66">
        <v>4572.5</v>
      </c>
      <c r="I338" s="9">
        <v>182.8048</v>
      </c>
      <c r="J338" s="10">
        <v>1.179385806451613</v>
      </c>
      <c r="K338" s="66">
        <v>1468.5185455590831</v>
      </c>
      <c r="L338" s="69">
        <v>6041.0185455590836</v>
      </c>
      <c r="M338" s="64">
        <v>0</v>
      </c>
      <c r="N338" s="67">
        <v>0</v>
      </c>
      <c r="O338" s="64">
        <f t="shared" si="10"/>
        <v>6041.0185455590836</v>
      </c>
      <c r="P338" s="64">
        <f t="shared" si="11"/>
        <v>38.974313197155375</v>
      </c>
    </row>
    <row r="339" spans="1:16" ht="15">
      <c r="A339" s="52" t="s">
        <v>3240</v>
      </c>
      <c r="B339" s="52" t="s">
        <v>3241</v>
      </c>
      <c r="C339" s="61" t="s">
        <v>3275</v>
      </c>
      <c r="D339" s="3" t="s">
        <v>1684</v>
      </c>
      <c r="E339" s="3">
        <v>1</v>
      </c>
      <c r="F339" s="3" t="s">
        <v>3266</v>
      </c>
      <c r="G339" s="9">
        <v>44.650000000000006</v>
      </c>
      <c r="H339" s="66">
        <v>1317.1750000000002</v>
      </c>
      <c r="I339" s="9">
        <v>51.969784000000011</v>
      </c>
      <c r="J339" s="10">
        <v>1.1639369316909296</v>
      </c>
      <c r="K339" s="66">
        <v>386.59650684366204</v>
      </c>
      <c r="L339" s="69">
        <v>1703.7715068436623</v>
      </c>
      <c r="M339" s="64">
        <v>0</v>
      </c>
      <c r="N339" s="67">
        <v>0</v>
      </c>
      <c r="O339" s="64">
        <f t="shared" si="10"/>
        <v>1703.7715068436623</v>
      </c>
      <c r="P339" s="64">
        <f t="shared" si="11"/>
        <v>38.158376413071942</v>
      </c>
    </row>
    <row r="340" spans="1:16" ht="15">
      <c r="A340" s="3" t="str">
        <f>"065730"</f>
        <v>065730</v>
      </c>
      <c r="B340" s="3" t="s">
        <v>2959</v>
      </c>
      <c r="C340" s="61" t="s">
        <v>3275</v>
      </c>
      <c r="D340" s="3" t="s">
        <v>3249</v>
      </c>
      <c r="E340" s="3">
        <v>1</v>
      </c>
      <c r="F340" s="3" t="s">
        <v>3220</v>
      </c>
      <c r="G340" s="9">
        <v>134</v>
      </c>
      <c r="H340" s="66">
        <v>3953</v>
      </c>
      <c r="I340" s="9">
        <v>158.2406</v>
      </c>
      <c r="J340" s="10">
        <v>1.1809000000000001</v>
      </c>
      <c r="K340" s="66">
        <v>1280.2742927652605</v>
      </c>
      <c r="L340" s="69">
        <v>5233.2742927652607</v>
      </c>
      <c r="M340" s="64">
        <v>0</v>
      </c>
      <c r="N340" s="67">
        <v>0</v>
      </c>
      <c r="O340" s="64">
        <f t="shared" si="10"/>
        <v>5233.2742927652607</v>
      </c>
      <c r="P340" s="64">
        <f t="shared" si="11"/>
        <v>39.054285766904933</v>
      </c>
    </row>
    <row r="341" spans="1:16" ht="15">
      <c r="A341" s="3" t="s">
        <v>230</v>
      </c>
      <c r="B341" s="3" t="s">
        <v>231</v>
      </c>
      <c r="C341" s="61" t="s">
        <v>3275</v>
      </c>
      <c r="D341" s="3" t="s">
        <v>1684</v>
      </c>
      <c r="E341" s="3">
        <v>1</v>
      </c>
      <c r="F341" s="3" t="s">
        <v>3266</v>
      </c>
      <c r="G341" s="9">
        <v>195.409761</v>
      </c>
      <c r="H341" s="66">
        <v>5764.5879494999999</v>
      </c>
      <c r="I341" s="9">
        <v>263.78513658876</v>
      </c>
      <c r="J341" s="10">
        <v>1.3499076772769811</v>
      </c>
      <c r="K341" s="66">
        <v>3611.265217216519</v>
      </c>
      <c r="L341" s="69">
        <v>9375.8531667165189</v>
      </c>
      <c r="M341" s="64">
        <v>0</v>
      </c>
      <c r="N341" s="67">
        <v>0</v>
      </c>
      <c r="O341" s="64">
        <f t="shared" si="10"/>
        <v>9375.8531667165189</v>
      </c>
      <c r="P341" s="64">
        <f t="shared" si="11"/>
        <v>47.980475073179782</v>
      </c>
    </row>
    <row r="342" spans="1:16" ht="15">
      <c r="A342" s="3" t="s">
        <v>1087</v>
      </c>
      <c r="B342" s="3" t="s">
        <v>1088</v>
      </c>
      <c r="C342" s="61" t="s">
        <v>3275</v>
      </c>
      <c r="D342" s="3" t="s">
        <v>3248</v>
      </c>
      <c r="E342" s="3">
        <v>1</v>
      </c>
      <c r="F342" s="3" t="s">
        <v>1906</v>
      </c>
      <c r="G342" s="9">
        <v>774.35419100000001</v>
      </c>
      <c r="H342" s="66">
        <v>22843.4486345</v>
      </c>
      <c r="I342" s="9">
        <v>1020.96961827562</v>
      </c>
      <c r="J342" s="10">
        <v>1.3184788435859578</v>
      </c>
      <c r="K342" s="66">
        <v>13025.065045431913</v>
      </c>
      <c r="L342" s="69">
        <v>35868.513679931915</v>
      </c>
      <c r="M342" s="64">
        <v>561743.07572516357</v>
      </c>
      <c r="N342" s="67">
        <v>11259.747677550142</v>
      </c>
      <c r="O342" s="64">
        <f t="shared" si="10"/>
        <v>47128.261357482057</v>
      </c>
      <c r="P342" s="64">
        <f t="shared" si="11"/>
        <v>60.861375718288137</v>
      </c>
    </row>
    <row r="343" spans="1:16" ht="15">
      <c r="A343" s="3" t="s">
        <v>767</v>
      </c>
      <c r="B343" s="3" t="s">
        <v>768</v>
      </c>
      <c r="C343" s="61" t="s">
        <v>3275</v>
      </c>
      <c r="D343" s="3" t="s">
        <v>3248</v>
      </c>
      <c r="E343" s="3">
        <v>1</v>
      </c>
      <c r="F343" s="3" t="s">
        <v>1907</v>
      </c>
      <c r="G343" s="9">
        <v>2707.375927</v>
      </c>
      <c r="H343" s="66">
        <v>79867.589846500006</v>
      </c>
      <c r="I343" s="9">
        <v>3120.4831172887798</v>
      </c>
      <c r="J343" s="10">
        <v>1.152585825325904</v>
      </c>
      <c r="K343" s="66">
        <v>21818.37561294734</v>
      </c>
      <c r="L343" s="69">
        <v>101685.96545944735</v>
      </c>
      <c r="M343" s="64">
        <v>947253.05696180172</v>
      </c>
      <c r="N343" s="67">
        <v>18987.026042838566</v>
      </c>
      <c r="O343" s="64">
        <f t="shared" si="10"/>
        <v>120672.99150228592</v>
      </c>
      <c r="P343" s="64">
        <f t="shared" si="11"/>
        <v>44.571937830592198</v>
      </c>
    </row>
    <row r="344" spans="1:16" ht="15">
      <c r="A344" s="3" t="str">
        <f>"118216"</f>
        <v>118216</v>
      </c>
      <c r="B344" s="3" t="s">
        <v>2568</v>
      </c>
      <c r="C344" s="61" t="s">
        <v>3275</v>
      </c>
      <c r="D344" s="3" t="s">
        <v>3249</v>
      </c>
      <c r="E344" s="3">
        <v>1</v>
      </c>
      <c r="F344" s="3" t="s">
        <v>3220</v>
      </c>
      <c r="G344" s="9">
        <v>219</v>
      </c>
      <c r="H344" s="66">
        <v>6460.5</v>
      </c>
      <c r="I344" s="9">
        <v>219</v>
      </c>
      <c r="J344" s="10">
        <v>1</v>
      </c>
      <c r="K344" s="66">
        <v>0</v>
      </c>
      <c r="L344" s="69">
        <v>6460.5</v>
      </c>
      <c r="M344" s="64">
        <v>0</v>
      </c>
      <c r="N344" s="67">
        <v>0</v>
      </c>
      <c r="O344" s="64">
        <f t="shared" si="10"/>
        <v>6460.5</v>
      </c>
      <c r="P344" s="64">
        <f t="shared" si="11"/>
        <v>29.5</v>
      </c>
    </row>
    <row r="345" spans="1:16" ht="15">
      <c r="A345" s="3" t="str">
        <f>"070748"</f>
        <v>070748</v>
      </c>
      <c r="B345" s="3" t="s">
        <v>2581</v>
      </c>
      <c r="C345" s="61" t="s">
        <v>3275</v>
      </c>
      <c r="D345" s="3" t="s">
        <v>3249</v>
      </c>
      <c r="E345" s="3">
        <v>1</v>
      </c>
      <c r="F345" s="3" t="s">
        <v>3220</v>
      </c>
      <c r="G345" s="9">
        <v>278</v>
      </c>
      <c r="H345" s="66">
        <v>8201</v>
      </c>
      <c r="I345" s="9">
        <v>278</v>
      </c>
      <c r="J345" s="10">
        <v>1</v>
      </c>
      <c r="K345" s="66">
        <v>0</v>
      </c>
      <c r="L345" s="69">
        <v>8201</v>
      </c>
      <c r="M345" s="64">
        <v>0</v>
      </c>
      <c r="N345" s="67">
        <v>0</v>
      </c>
      <c r="O345" s="64">
        <f t="shared" si="10"/>
        <v>8201</v>
      </c>
      <c r="P345" s="64">
        <f t="shared" si="11"/>
        <v>29.5</v>
      </c>
    </row>
    <row r="346" spans="1:16" ht="15">
      <c r="A346" s="3" t="str">
        <f>"070771"</f>
        <v>070771</v>
      </c>
      <c r="B346" s="3" t="s">
        <v>3115</v>
      </c>
      <c r="C346" s="61" t="s">
        <v>3275</v>
      </c>
      <c r="D346" s="3" t="s">
        <v>3249</v>
      </c>
      <c r="E346" s="3">
        <v>1</v>
      </c>
      <c r="F346" s="3" t="s">
        <v>3220</v>
      </c>
      <c r="G346" s="9">
        <v>246</v>
      </c>
      <c r="H346" s="66">
        <v>7257</v>
      </c>
      <c r="I346" s="9">
        <v>246</v>
      </c>
      <c r="J346" s="10">
        <v>1</v>
      </c>
      <c r="K346" s="66">
        <v>0</v>
      </c>
      <c r="L346" s="69">
        <v>7257</v>
      </c>
      <c r="M346" s="64">
        <v>0</v>
      </c>
      <c r="N346" s="67">
        <v>0</v>
      </c>
      <c r="O346" s="64">
        <f t="shared" si="10"/>
        <v>7257</v>
      </c>
      <c r="P346" s="64">
        <f t="shared" si="11"/>
        <v>29.5</v>
      </c>
    </row>
    <row r="347" spans="1:16" ht="15">
      <c r="A347" s="3" t="str">
        <f>"125997"</f>
        <v>125997</v>
      </c>
      <c r="B347" s="3" t="s">
        <v>2636</v>
      </c>
      <c r="C347" s="61" t="s">
        <v>3275</v>
      </c>
      <c r="D347" s="3" t="s">
        <v>3249</v>
      </c>
      <c r="E347" s="3">
        <v>1</v>
      </c>
      <c r="F347" s="3" t="s">
        <v>3220</v>
      </c>
      <c r="G347" s="9">
        <v>18</v>
      </c>
      <c r="H347" s="66">
        <v>531</v>
      </c>
      <c r="I347" s="9">
        <v>19.899999999999999</v>
      </c>
      <c r="J347" s="10">
        <v>1.1055555555555554</v>
      </c>
      <c r="K347" s="66">
        <v>100.34904896141155</v>
      </c>
      <c r="L347" s="69">
        <v>631.34904896141154</v>
      </c>
      <c r="M347" s="64">
        <v>0</v>
      </c>
      <c r="N347" s="67">
        <v>0</v>
      </c>
      <c r="O347" s="64">
        <f t="shared" si="10"/>
        <v>631.34904896141154</v>
      </c>
      <c r="P347" s="64">
        <f t="shared" si="11"/>
        <v>35.074947164522861</v>
      </c>
    </row>
    <row r="348" spans="1:16" ht="15">
      <c r="A348" s="3" t="str">
        <f>"056754"</f>
        <v>056754</v>
      </c>
      <c r="B348" s="3" t="s">
        <v>2831</v>
      </c>
      <c r="C348" s="61" t="s">
        <v>3275</v>
      </c>
      <c r="D348" s="3" t="s">
        <v>3249</v>
      </c>
      <c r="E348" s="3">
        <v>1</v>
      </c>
      <c r="F348" s="3" t="s">
        <v>3220</v>
      </c>
      <c r="G348" s="9">
        <v>177</v>
      </c>
      <c r="H348" s="66">
        <v>5221.5</v>
      </c>
      <c r="I348" s="9">
        <v>193.63579999999999</v>
      </c>
      <c r="J348" s="10">
        <v>1.0939875706214688</v>
      </c>
      <c r="K348" s="66">
        <v>878.62458353276338</v>
      </c>
      <c r="L348" s="69">
        <v>6100.1245835327636</v>
      </c>
      <c r="M348" s="64">
        <v>0</v>
      </c>
      <c r="N348" s="67">
        <v>0</v>
      </c>
      <c r="O348" s="64">
        <f t="shared" si="10"/>
        <v>6100.1245835327636</v>
      </c>
      <c r="P348" s="64">
        <f t="shared" si="11"/>
        <v>34.463980697925216</v>
      </c>
    </row>
    <row r="349" spans="1:16" ht="15">
      <c r="A349" s="3" t="str">
        <f>"000476"</f>
        <v>000476</v>
      </c>
      <c r="B349" s="3" t="s">
        <v>2989</v>
      </c>
      <c r="C349" s="61" t="s">
        <v>3275</v>
      </c>
      <c r="D349" s="3" t="s">
        <v>3249</v>
      </c>
      <c r="E349" s="3">
        <v>1</v>
      </c>
      <c r="F349" s="3" t="s">
        <v>3220</v>
      </c>
      <c r="G349" s="9">
        <v>382</v>
      </c>
      <c r="H349" s="66">
        <v>11269</v>
      </c>
      <c r="I349" s="9">
        <v>430.92019999999997</v>
      </c>
      <c r="J349" s="10">
        <v>1.1280633507853401</v>
      </c>
      <c r="K349" s="66">
        <v>2583.7344973694976</v>
      </c>
      <c r="L349" s="69">
        <v>13852.734497369498</v>
      </c>
      <c r="M349" s="64">
        <v>0</v>
      </c>
      <c r="N349" s="67">
        <v>0</v>
      </c>
      <c r="O349" s="64">
        <f t="shared" si="10"/>
        <v>13852.734497369498</v>
      </c>
      <c r="P349" s="64">
        <f t="shared" si="11"/>
        <v>36.263702872695021</v>
      </c>
    </row>
    <row r="350" spans="1:16" ht="15">
      <c r="A350" s="3" t="s">
        <v>777</v>
      </c>
      <c r="B350" s="3" t="s">
        <v>778</v>
      </c>
      <c r="C350" s="61" t="s">
        <v>3275</v>
      </c>
      <c r="D350" s="3" t="s">
        <v>3248</v>
      </c>
      <c r="E350" s="3">
        <v>1</v>
      </c>
      <c r="F350" s="3" t="s">
        <v>1907</v>
      </c>
      <c r="G350" s="9">
        <v>4844.6653809999998</v>
      </c>
      <c r="H350" s="66">
        <v>142917.62873949998</v>
      </c>
      <c r="I350" s="9">
        <v>5996.35014946711</v>
      </c>
      <c r="J350" s="10">
        <v>1.2377222528069396</v>
      </c>
      <c r="K350" s="66">
        <v>60826.563799483185</v>
      </c>
      <c r="L350" s="69">
        <v>203744.19253898316</v>
      </c>
      <c r="M350" s="64">
        <v>1815201.2385337234</v>
      </c>
      <c r="N350" s="67">
        <v>36384.441238517378</v>
      </c>
      <c r="O350" s="64">
        <f t="shared" si="10"/>
        <v>240128.63377750054</v>
      </c>
      <c r="P350" s="64">
        <f t="shared" si="11"/>
        <v>49.565576751543361</v>
      </c>
    </row>
    <row r="351" spans="1:16" ht="15">
      <c r="A351" s="3" t="s">
        <v>1817</v>
      </c>
      <c r="B351" s="3" t="s">
        <v>1818</v>
      </c>
      <c r="C351" s="61" t="s">
        <v>3275</v>
      </c>
      <c r="D351" s="3" t="s">
        <v>1684</v>
      </c>
      <c r="E351" s="3">
        <v>1</v>
      </c>
      <c r="F351" s="3" t="s">
        <v>3266</v>
      </c>
      <c r="G351" s="9">
        <v>40.644970000000001</v>
      </c>
      <c r="H351" s="66">
        <v>1199.026615</v>
      </c>
      <c r="I351" s="9">
        <v>56.856577305954303</v>
      </c>
      <c r="J351" s="10">
        <v>1.3988588823156789</v>
      </c>
      <c r="K351" s="66">
        <v>856.220723835993</v>
      </c>
      <c r="L351" s="69">
        <v>2055.2473388359931</v>
      </c>
      <c r="M351" s="64">
        <v>0</v>
      </c>
      <c r="N351" s="67">
        <v>0</v>
      </c>
      <c r="O351" s="64">
        <f t="shared" si="10"/>
        <v>2055.2473388359931</v>
      </c>
      <c r="P351" s="64">
        <f t="shared" si="11"/>
        <v>50.565847110626308</v>
      </c>
    </row>
    <row r="352" spans="1:16" ht="15">
      <c r="A352" s="3" t="s">
        <v>1089</v>
      </c>
      <c r="B352" s="3" t="s">
        <v>1090</v>
      </c>
      <c r="C352" s="61" t="s">
        <v>3275</v>
      </c>
      <c r="D352" s="3" t="s">
        <v>3248</v>
      </c>
      <c r="E352" s="3">
        <v>1</v>
      </c>
      <c r="F352" s="3" t="s">
        <v>1907</v>
      </c>
      <c r="G352" s="9">
        <v>4518.6160069999996</v>
      </c>
      <c r="H352" s="66">
        <v>133299.17220649999</v>
      </c>
      <c r="I352" s="9">
        <v>5275.0699674213402</v>
      </c>
      <c r="J352" s="10">
        <v>1.1674083301722213</v>
      </c>
      <c r="K352" s="66">
        <v>39952.334479670964</v>
      </c>
      <c r="L352" s="69">
        <v>173251.50668617096</v>
      </c>
      <c r="M352" s="64">
        <v>2351838.4263133067</v>
      </c>
      <c r="N352" s="67">
        <v>47140.958924094484</v>
      </c>
      <c r="O352" s="64">
        <f t="shared" si="10"/>
        <v>220392.46561026544</v>
      </c>
      <c r="P352" s="64">
        <f t="shared" si="11"/>
        <v>48.774329411670557</v>
      </c>
    </row>
    <row r="353" spans="1:16" ht="15">
      <c r="A353" s="3" t="str">
        <f>"114777"</f>
        <v>114777</v>
      </c>
      <c r="B353" s="3" t="s">
        <v>3078</v>
      </c>
      <c r="C353" s="61" t="s">
        <v>3275</v>
      </c>
      <c r="D353" s="3" t="s">
        <v>3249</v>
      </c>
      <c r="E353" s="3">
        <v>1</v>
      </c>
      <c r="F353" s="3" t="s">
        <v>3220</v>
      </c>
      <c r="G353" s="9">
        <v>17</v>
      </c>
      <c r="H353" s="66">
        <v>501.5</v>
      </c>
      <c r="I353" s="9">
        <v>17</v>
      </c>
      <c r="J353" s="10">
        <v>1</v>
      </c>
      <c r="K353" s="66">
        <v>0</v>
      </c>
      <c r="L353" s="69">
        <v>501.5</v>
      </c>
      <c r="M353" s="64">
        <v>0</v>
      </c>
      <c r="N353" s="67">
        <v>0</v>
      </c>
      <c r="O353" s="64">
        <f t="shared" si="10"/>
        <v>501.5</v>
      </c>
      <c r="P353" s="64">
        <f t="shared" si="11"/>
        <v>29.5</v>
      </c>
    </row>
    <row r="354" spans="1:16" ht="15">
      <c r="A354" s="3" t="s">
        <v>785</v>
      </c>
      <c r="B354" s="3" t="s">
        <v>786</v>
      </c>
      <c r="C354" s="61" t="s">
        <v>3275</v>
      </c>
      <c r="D354" s="3" t="s">
        <v>3248</v>
      </c>
      <c r="E354" s="3">
        <v>1</v>
      </c>
      <c r="F354" s="3" t="s">
        <v>1906</v>
      </c>
      <c r="G354" s="9">
        <v>3295.4920900000002</v>
      </c>
      <c r="H354" s="66">
        <v>97217.016654999999</v>
      </c>
      <c r="I354" s="9">
        <v>4332.1304863677196</v>
      </c>
      <c r="J354" s="10">
        <v>1.3145625503133036</v>
      </c>
      <c r="K354" s="66">
        <v>54750.356417043949</v>
      </c>
      <c r="L354" s="69">
        <v>151967.37307204393</v>
      </c>
      <c r="M354" s="64">
        <v>1229226.0892182682</v>
      </c>
      <c r="N354" s="67">
        <v>24638.978567545575</v>
      </c>
      <c r="O354" s="64">
        <f t="shared" si="10"/>
        <v>176606.3516395895</v>
      </c>
      <c r="P354" s="64">
        <f t="shared" si="11"/>
        <v>53.590282366476409</v>
      </c>
    </row>
    <row r="355" spans="1:16" ht="15">
      <c r="A355" s="3" t="str">
        <f>"093039"</f>
        <v>093039</v>
      </c>
      <c r="B355" s="3" t="s">
        <v>3101</v>
      </c>
      <c r="C355" s="61" t="s">
        <v>3275</v>
      </c>
      <c r="D355" s="3" t="s">
        <v>3249</v>
      </c>
      <c r="E355" s="3">
        <v>1</v>
      </c>
      <c r="F355" s="3" t="s">
        <v>3220</v>
      </c>
      <c r="G355" s="9">
        <v>101</v>
      </c>
      <c r="H355" s="66">
        <v>2979.5</v>
      </c>
      <c r="I355" s="9">
        <v>101</v>
      </c>
      <c r="J355" s="10">
        <v>1</v>
      </c>
      <c r="K355" s="66">
        <v>0</v>
      </c>
      <c r="L355" s="69">
        <v>2979.5</v>
      </c>
      <c r="M355" s="64">
        <v>0</v>
      </c>
      <c r="N355" s="67">
        <v>0</v>
      </c>
      <c r="O355" s="64">
        <f t="shared" si="10"/>
        <v>2979.5</v>
      </c>
      <c r="P355" s="64">
        <f t="shared" si="11"/>
        <v>29.5</v>
      </c>
    </row>
    <row r="356" spans="1:16" ht="15">
      <c r="A356" s="3" t="str">
        <f>"056531"</f>
        <v>056531</v>
      </c>
      <c r="B356" s="3" t="s">
        <v>2843</v>
      </c>
      <c r="C356" s="61" t="s">
        <v>3275</v>
      </c>
      <c r="D356" s="3" t="s">
        <v>3249</v>
      </c>
      <c r="E356" s="3">
        <v>1</v>
      </c>
      <c r="F356" s="3" t="s">
        <v>3220</v>
      </c>
      <c r="G356" s="9">
        <v>421</v>
      </c>
      <c r="H356" s="66">
        <v>12419.5</v>
      </c>
      <c r="I356" s="9">
        <v>449.41059999999999</v>
      </c>
      <c r="J356" s="10">
        <v>1.0674836104513064</v>
      </c>
      <c r="K356" s="66">
        <v>1500.5140475910948</v>
      </c>
      <c r="L356" s="69">
        <v>13920.014047591096</v>
      </c>
      <c r="M356" s="64">
        <v>0</v>
      </c>
      <c r="N356" s="67">
        <v>0</v>
      </c>
      <c r="O356" s="64">
        <f t="shared" si="10"/>
        <v>13920.014047591096</v>
      </c>
      <c r="P356" s="64">
        <f t="shared" si="11"/>
        <v>33.06416638382683</v>
      </c>
    </row>
    <row r="357" spans="1:16" ht="15">
      <c r="A357" s="3" t="str">
        <f>"055913"</f>
        <v>055913</v>
      </c>
      <c r="B357" s="3" t="s">
        <v>2960</v>
      </c>
      <c r="C357" s="61" t="s">
        <v>3275</v>
      </c>
      <c r="D357" s="3" t="s">
        <v>3249</v>
      </c>
      <c r="E357" s="3">
        <v>1</v>
      </c>
      <c r="F357" s="3" t="s">
        <v>3220</v>
      </c>
      <c r="G357" s="9">
        <v>409</v>
      </c>
      <c r="H357" s="66">
        <v>12065.5</v>
      </c>
      <c r="I357" s="9">
        <v>479.97719999999998</v>
      </c>
      <c r="J357" s="10">
        <v>1.1735383863080684</v>
      </c>
      <c r="K357" s="66">
        <v>3748.6813252336333</v>
      </c>
      <c r="L357" s="69">
        <v>15814.181325233632</v>
      </c>
      <c r="M357" s="64">
        <v>0</v>
      </c>
      <c r="N357" s="67">
        <v>0</v>
      </c>
      <c r="O357" s="64">
        <f t="shared" si="10"/>
        <v>15814.181325233632</v>
      </c>
      <c r="P357" s="64">
        <f t="shared" si="11"/>
        <v>38.665480012796166</v>
      </c>
    </row>
    <row r="358" spans="1:16" ht="15">
      <c r="A358" s="3" t="str">
        <f>"055947"</f>
        <v>055947</v>
      </c>
      <c r="B358" s="3" t="s">
        <v>2965</v>
      </c>
      <c r="C358" s="61" t="s">
        <v>3275</v>
      </c>
      <c r="D358" s="3" t="s">
        <v>3249</v>
      </c>
      <c r="E358" s="3">
        <v>1</v>
      </c>
      <c r="F358" s="3" t="s">
        <v>3220</v>
      </c>
      <c r="G358" s="9">
        <v>195</v>
      </c>
      <c r="H358" s="66">
        <v>5752.5</v>
      </c>
      <c r="I358" s="9">
        <v>230.65720000000002</v>
      </c>
      <c r="J358" s="10">
        <v>1.182857435897436</v>
      </c>
      <c r="K358" s="66">
        <v>1883.2453203299201</v>
      </c>
      <c r="L358" s="69">
        <v>7635.7453203299201</v>
      </c>
      <c r="M358" s="64">
        <v>0</v>
      </c>
      <c r="N358" s="67">
        <v>0</v>
      </c>
      <c r="O358" s="64">
        <f t="shared" si="10"/>
        <v>7635.7453203299201</v>
      </c>
      <c r="P358" s="64">
        <f t="shared" si="11"/>
        <v>39.157668309384206</v>
      </c>
    </row>
    <row r="359" spans="1:16" ht="15">
      <c r="A359" s="3" t="str">
        <f>"056713"</f>
        <v>056713</v>
      </c>
      <c r="B359" s="3" t="s">
        <v>2863</v>
      </c>
      <c r="C359" s="61" t="s">
        <v>3275</v>
      </c>
      <c r="D359" s="3" t="s">
        <v>3249</v>
      </c>
      <c r="E359" s="3">
        <v>1</v>
      </c>
      <c r="F359" s="3" t="s">
        <v>3220</v>
      </c>
      <c r="G359" s="9">
        <v>806</v>
      </c>
      <c r="H359" s="66">
        <v>23777</v>
      </c>
      <c r="I359" s="9">
        <v>834.37159999999994</v>
      </c>
      <c r="J359" s="10">
        <v>1.0352004962779155</v>
      </c>
      <c r="K359" s="66">
        <v>1498.4542513229371</v>
      </c>
      <c r="L359" s="69">
        <v>25275.454251322939</v>
      </c>
      <c r="M359" s="64">
        <v>0</v>
      </c>
      <c r="N359" s="67">
        <v>0</v>
      </c>
      <c r="O359" s="64">
        <f t="shared" si="10"/>
        <v>25275.454251322939</v>
      </c>
      <c r="P359" s="64">
        <f t="shared" si="11"/>
        <v>31.35912438129397</v>
      </c>
    </row>
    <row r="360" spans="1:16" ht="15">
      <c r="A360" s="3" t="str">
        <f>"056549"</f>
        <v>056549</v>
      </c>
      <c r="B360" s="3" t="s">
        <v>2774</v>
      </c>
      <c r="C360" s="61" t="s">
        <v>3275</v>
      </c>
      <c r="D360" s="3" t="s">
        <v>3249</v>
      </c>
      <c r="E360" s="3">
        <v>1</v>
      </c>
      <c r="F360" s="3" t="s">
        <v>3220</v>
      </c>
      <c r="G360" s="9">
        <v>390</v>
      </c>
      <c r="H360" s="66">
        <v>11505</v>
      </c>
      <c r="I360" s="9">
        <v>400.34879999999998</v>
      </c>
      <c r="J360" s="10">
        <v>1.0265353846153846</v>
      </c>
      <c r="K360" s="66">
        <v>546.5748620483447</v>
      </c>
      <c r="L360" s="69">
        <v>12051.574862048345</v>
      </c>
      <c r="M360" s="64">
        <v>0</v>
      </c>
      <c r="N360" s="67">
        <v>0</v>
      </c>
      <c r="O360" s="64">
        <f t="shared" si="10"/>
        <v>12051.574862048345</v>
      </c>
      <c r="P360" s="64">
        <f t="shared" si="11"/>
        <v>30.901474005252165</v>
      </c>
    </row>
    <row r="361" spans="1:16" ht="15">
      <c r="A361" s="3" t="str">
        <f>"056747"</f>
        <v>056747</v>
      </c>
      <c r="B361" s="3" t="s">
        <v>2757</v>
      </c>
      <c r="C361" s="61" t="s">
        <v>3275</v>
      </c>
      <c r="D361" s="3" t="s">
        <v>3249</v>
      </c>
      <c r="E361" s="3">
        <v>1</v>
      </c>
      <c r="F361" s="3" t="s">
        <v>3220</v>
      </c>
      <c r="G361" s="9">
        <v>238</v>
      </c>
      <c r="H361" s="66">
        <v>7021</v>
      </c>
      <c r="I361" s="9">
        <v>245.8056</v>
      </c>
      <c r="J361" s="10">
        <v>1.0327966386554621</v>
      </c>
      <c r="K361" s="66">
        <v>412.25501924904972</v>
      </c>
      <c r="L361" s="69">
        <v>7433.2550192490498</v>
      </c>
      <c r="M361" s="64">
        <v>0</v>
      </c>
      <c r="N361" s="67">
        <v>0</v>
      </c>
      <c r="O361" s="64">
        <f t="shared" si="10"/>
        <v>7433.2550192490498</v>
      </c>
      <c r="P361" s="64">
        <f t="shared" si="11"/>
        <v>31.232163946424578</v>
      </c>
    </row>
    <row r="362" spans="1:16" ht="15">
      <c r="A362" s="3" t="str">
        <f>"056556"</f>
        <v>056556</v>
      </c>
      <c r="B362" s="3" t="s">
        <v>2830</v>
      </c>
      <c r="C362" s="61" t="s">
        <v>3275</v>
      </c>
      <c r="D362" s="3" t="s">
        <v>3249</v>
      </c>
      <c r="E362" s="3">
        <v>1</v>
      </c>
      <c r="F362" s="3" t="s">
        <v>3220</v>
      </c>
      <c r="G362" s="9">
        <v>317</v>
      </c>
      <c r="H362" s="66">
        <v>9351.5</v>
      </c>
      <c r="I362" s="9">
        <v>345.83580000000001</v>
      </c>
      <c r="J362" s="10">
        <v>1.0909646687697161</v>
      </c>
      <c r="K362" s="66">
        <v>1522.9711084428809</v>
      </c>
      <c r="L362" s="69">
        <v>10874.471108442882</v>
      </c>
      <c r="M362" s="64">
        <v>0</v>
      </c>
      <c r="N362" s="67">
        <v>0</v>
      </c>
      <c r="O362" s="64">
        <f t="shared" si="10"/>
        <v>10874.471108442882</v>
      </c>
      <c r="P362" s="64">
        <f t="shared" si="11"/>
        <v>34.304325263226758</v>
      </c>
    </row>
    <row r="363" spans="1:16" ht="15">
      <c r="A363" s="3" t="str">
        <f>"017333"</f>
        <v>017333</v>
      </c>
      <c r="B363" s="3" t="s">
        <v>2639</v>
      </c>
      <c r="C363" s="61" t="s">
        <v>3275</v>
      </c>
      <c r="D363" s="3" t="s">
        <v>3249</v>
      </c>
      <c r="E363" s="3">
        <v>1</v>
      </c>
      <c r="F363" s="3" t="s">
        <v>3220</v>
      </c>
      <c r="G363" s="9">
        <v>42</v>
      </c>
      <c r="H363" s="66">
        <v>1239</v>
      </c>
      <c r="I363" s="9">
        <v>43.3</v>
      </c>
      <c r="J363" s="10">
        <v>1.0309523809523808</v>
      </c>
      <c r="K363" s="66">
        <v>68.659875605176225</v>
      </c>
      <c r="L363" s="69">
        <v>1307.6598756051762</v>
      </c>
      <c r="M363" s="64">
        <v>0</v>
      </c>
      <c r="N363" s="67">
        <v>0</v>
      </c>
      <c r="O363" s="64">
        <f t="shared" si="10"/>
        <v>1307.6598756051762</v>
      </c>
      <c r="P363" s="64">
        <f t="shared" si="11"/>
        <v>31.134758942980387</v>
      </c>
    </row>
    <row r="364" spans="1:16" ht="15">
      <c r="A364" s="3" t="str">
        <f>"056887"</f>
        <v>056887</v>
      </c>
      <c r="B364" s="3" t="s">
        <v>2733</v>
      </c>
      <c r="C364" s="61" t="s">
        <v>3275</v>
      </c>
      <c r="D364" s="3" t="s">
        <v>3249</v>
      </c>
      <c r="E364" s="3">
        <v>1</v>
      </c>
      <c r="F364" s="3" t="s">
        <v>3220</v>
      </c>
      <c r="G364" s="9">
        <v>355</v>
      </c>
      <c r="H364" s="66">
        <v>10472.5</v>
      </c>
      <c r="I364" s="9">
        <v>372.12279999999998</v>
      </c>
      <c r="J364" s="10">
        <v>1.0482332394366196</v>
      </c>
      <c r="K364" s="66">
        <v>904.34562924024078</v>
      </c>
      <c r="L364" s="69">
        <v>11376.845629240241</v>
      </c>
      <c r="M364" s="64">
        <v>0</v>
      </c>
      <c r="N364" s="67">
        <v>0</v>
      </c>
      <c r="O364" s="64">
        <f t="shared" si="10"/>
        <v>11376.845629240241</v>
      </c>
      <c r="P364" s="64">
        <f t="shared" si="11"/>
        <v>32.047452476733071</v>
      </c>
    </row>
    <row r="365" spans="1:16" ht="15">
      <c r="A365" s="3" t="str">
        <f>"056697"</f>
        <v>056697</v>
      </c>
      <c r="B365" s="3" t="s">
        <v>2722</v>
      </c>
      <c r="C365" s="61" t="s">
        <v>3275</v>
      </c>
      <c r="D365" s="3" t="s">
        <v>3249</v>
      </c>
      <c r="E365" s="3">
        <v>1</v>
      </c>
      <c r="F365" s="3" t="s">
        <v>3220</v>
      </c>
      <c r="G365" s="9">
        <v>148</v>
      </c>
      <c r="H365" s="66">
        <v>4366</v>
      </c>
      <c r="I365" s="9">
        <v>154.9992</v>
      </c>
      <c r="J365" s="10">
        <v>1.0472918918918919</v>
      </c>
      <c r="K365" s="66">
        <v>369.6647702582697</v>
      </c>
      <c r="L365" s="69">
        <v>4735.6647702582695</v>
      </c>
      <c r="M365" s="64">
        <v>0</v>
      </c>
      <c r="N365" s="67">
        <v>0</v>
      </c>
      <c r="O365" s="64">
        <f t="shared" si="10"/>
        <v>4735.6647702582695</v>
      </c>
      <c r="P365" s="64">
        <f t="shared" si="11"/>
        <v>31.997734934177497</v>
      </c>
    </row>
    <row r="366" spans="1:16" ht="15">
      <c r="A366" s="3" t="str">
        <f>"056762"</f>
        <v>056762</v>
      </c>
      <c r="B366" s="3" t="s">
        <v>2835</v>
      </c>
      <c r="C366" s="61" t="s">
        <v>3275</v>
      </c>
      <c r="D366" s="3" t="s">
        <v>3249</v>
      </c>
      <c r="E366" s="3">
        <v>1</v>
      </c>
      <c r="F366" s="3" t="s">
        <v>3220</v>
      </c>
      <c r="G366" s="9">
        <v>318</v>
      </c>
      <c r="H366" s="66">
        <v>9381</v>
      </c>
      <c r="I366" s="9">
        <v>339.8732</v>
      </c>
      <c r="J366" s="10">
        <v>1.068783647798742</v>
      </c>
      <c r="K366" s="66">
        <v>1155.2393777593413</v>
      </c>
      <c r="L366" s="69">
        <v>10536.239377759341</v>
      </c>
      <c r="M366" s="64">
        <v>0</v>
      </c>
      <c r="N366" s="67">
        <v>0</v>
      </c>
      <c r="O366" s="64">
        <f t="shared" si="10"/>
        <v>10536.239377759341</v>
      </c>
      <c r="P366" s="64">
        <f t="shared" si="11"/>
        <v>33.132828231947613</v>
      </c>
    </row>
    <row r="367" spans="1:16" ht="15">
      <c r="A367" s="3" t="str">
        <f>"056804"</f>
        <v>056804</v>
      </c>
      <c r="B367" s="3" t="s">
        <v>2797</v>
      </c>
      <c r="C367" s="61" t="s">
        <v>3275</v>
      </c>
      <c r="D367" s="3" t="s">
        <v>3249</v>
      </c>
      <c r="E367" s="3">
        <v>1</v>
      </c>
      <c r="F367" s="3" t="s">
        <v>3220</v>
      </c>
      <c r="G367" s="9">
        <v>268</v>
      </c>
      <c r="H367" s="66">
        <v>7906</v>
      </c>
      <c r="I367" s="9">
        <v>280.53579999999999</v>
      </c>
      <c r="J367" s="10">
        <v>1.0467753731343283</v>
      </c>
      <c r="K367" s="66">
        <v>662.08189893182282</v>
      </c>
      <c r="L367" s="69">
        <v>8568.0818989318232</v>
      </c>
      <c r="M367" s="64">
        <v>0</v>
      </c>
      <c r="N367" s="67">
        <v>0</v>
      </c>
      <c r="O367" s="64">
        <f t="shared" si="10"/>
        <v>8568.0818989318232</v>
      </c>
      <c r="P367" s="64">
        <f t="shared" si="11"/>
        <v>31.970454846760536</v>
      </c>
    </row>
    <row r="368" spans="1:16" ht="15">
      <c r="A368" s="3" t="str">
        <f>"056770"</f>
        <v>056770</v>
      </c>
      <c r="B368" s="3" t="s">
        <v>2917</v>
      </c>
      <c r="C368" s="61" t="s">
        <v>3275</v>
      </c>
      <c r="D368" s="3" t="s">
        <v>3249</v>
      </c>
      <c r="E368" s="3">
        <v>1</v>
      </c>
      <c r="F368" s="3" t="s">
        <v>3220</v>
      </c>
      <c r="G368" s="9">
        <v>331</v>
      </c>
      <c r="H368" s="66">
        <v>9764.5</v>
      </c>
      <c r="I368" s="9">
        <v>361.05860000000001</v>
      </c>
      <c r="J368" s="10">
        <v>1.0908114803625377</v>
      </c>
      <c r="K368" s="66">
        <v>1587.5536437428889</v>
      </c>
      <c r="L368" s="69">
        <v>11352.053643742889</v>
      </c>
      <c r="M368" s="64">
        <v>0</v>
      </c>
      <c r="N368" s="67">
        <v>0</v>
      </c>
      <c r="O368" s="64">
        <f t="shared" si="10"/>
        <v>11352.053643742889</v>
      </c>
      <c r="P368" s="64">
        <f t="shared" si="11"/>
        <v>34.296234573241357</v>
      </c>
    </row>
    <row r="369" spans="1:16" ht="15">
      <c r="A369" s="3" t="str">
        <f>"056812"</f>
        <v>056812</v>
      </c>
      <c r="B369" s="3" t="s">
        <v>2813</v>
      </c>
      <c r="C369" s="61" t="s">
        <v>3275</v>
      </c>
      <c r="D369" s="3" t="s">
        <v>3249</v>
      </c>
      <c r="E369" s="3">
        <v>1</v>
      </c>
      <c r="F369" s="3" t="s">
        <v>3220</v>
      </c>
      <c r="G369" s="9">
        <v>184</v>
      </c>
      <c r="H369" s="66">
        <v>5428</v>
      </c>
      <c r="I369" s="9">
        <v>196.56100000000001</v>
      </c>
      <c r="J369" s="10">
        <v>1.0682663043478262</v>
      </c>
      <c r="K369" s="66">
        <v>663.41284421278533</v>
      </c>
      <c r="L369" s="69">
        <v>6091.4128442127858</v>
      </c>
      <c r="M369" s="64">
        <v>0</v>
      </c>
      <c r="N369" s="67">
        <v>0</v>
      </c>
      <c r="O369" s="64">
        <f t="shared" si="10"/>
        <v>6091.4128442127858</v>
      </c>
      <c r="P369" s="64">
        <f t="shared" si="11"/>
        <v>33.105504588112964</v>
      </c>
    </row>
    <row r="370" spans="1:16" ht="15">
      <c r="A370" s="3" t="str">
        <f>"053546"</f>
        <v>053546</v>
      </c>
      <c r="B370" s="3" t="s">
        <v>2659</v>
      </c>
      <c r="C370" s="61" t="s">
        <v>3275</v>
      </c>
      <c r="D370" s="3" t="s">
        <v>3249</v>
      </c>
      <c r="E370" s="3">
        <v>1</v>
      </c>
      <c r="F370" s="3" t="s">
        <v>3220</v>
      </c>
      <c r="G370" s="9">
        <v>951</v>
      </c>
      <c r="H370" s="66">
        <v>28054.5</v>
      </c>
      <c r="I370" s="9">
        <v>1018.8407999999999</v>
      </c>
      <c r="J370" s="10">
        <v>1.0713362776025237</v>
      </c>
      <c r="K370" s="66">
        <v>3583.0314530428041</v>
      </c>
      <c r="L370" s="69">
        <v>31637.531453042804</v>
      </c>
      <c r="M370" s="64">
        <v>0</v>
      </c>
      <c r="N370" s="67">
        <v>0</v>
      </c>
      <c r="O370" s="64">
        <f t="shared" si="10"/>
        <v>31637.531453042804</v>
      </c>
      <c r="P370" s="64">
        <f t="shared" si="11"/>
        <v>33.267646112558154</v>
      </c>
    </row>
    <row r="371" spans="1:16" ht="15">
      <c r="A371" s="3" t="str">
        <f>"056010"</f>
        <v>056010</v>
      </c>
      <c r="B371" s="3" t="s">
        <v>2790</v>
      </c>
      <c r="C371" s="61" t="s">
        <v>3275</v>
      </c>
      <c r="D371" s="3" t="s">
        <v>3249</v>
      </c>
      <c r="E371" s="3">
        <v>1</v>
      </c>
      <c r="F371" s="3" t="s">
        <v>3220</v>
      </c>
      <c r="G371" s="9">
        <v>218</v>
      </c>
      <c r="H371" s="66">
        <v>6431</v>
      </c>
      <c r="I371" s="9">
        <v>247.52359999999999</v>
      </c>
      <c r="J371" s="10">
        <v>1.1354293577981651</v>
      </c>
      <c r="K371" s="66">
        <v>1559.2974641669109</v>
      </c>
      <c r="L371" s="69">
        <v>7990.2974641669107</v>
      </c>
      <c r="M371" s="64">
        <v>0</v>
      </c>
      <c r="N371" s="67">
        <v>0</v>
      </c>
      <c r="O371" s="64">
        <f t="shared" si="10"/>
        <v>7990.2974641669107</v>
      </c>
      <c r="P371" s="64">
        <f t="shared" si="11"/>
        <v>36.652740661316102</v>
      </c>
    </row>
    <row r="372" spans="1:16" ht="15">
      <c r="A372" s="3" t="str">
        <f>"056580"</f>
        <v>056580</v>
      </c>
      <c r="B372" s="3" t="s">
        <v>2759</v>
      </c>
      <c r="C372" s="61" t="s">
        <v>3275</v>
      </c>
      <c r="D372" s="3" t="s">
        <v>3249</v>
      </c>
      <c r="E372" s="3">
        <v>1</v>
      </c>
      <c r="F372" s="3" t="s">
        <v>3220</v>
      </c>
      <c r="G372" s="9">
        <v>319</v>
      </c>
      <c r="H372" s="66">
        <v>9410.5</v>
      </c>
      <c r="I372" s="9">
        <v>327.6114</v>
      </c>
      <c r="J372" s="10">
        <v>1.0269949843260189</v>
      </c>
      <c r="K372" s="66">
        <v>454.81357906647389</v>
      </c>
      <c r="L372" s="69">
        <v>9865.3135790664746</v>
      </c>
      <c r="M372" s="64">
        <v>0</v>
      </c>
      <c r="N372" s="67">
        <v>0</v>
      </c>
      <c r="O372" s="64">
        <f t="shared" si="10"/>
        <v>9865.3135790664746</v>
      </c>
      <c r="P372" s="64">
        <f t="shared" si="11"/>
        <v>30.925747896760107</v>
      </c>
    </row>
    <row r="373" spans="1:16" ht="15">
      <c r="A373" s="3" t="str">
        <f>"056051"</f>
        <v>056051</v>
      </c>
      <c r="B373" s="3" t="s">
        <v>3016</v>
      </c>
      <c r="C373" s="61" t="s">
        <v>3275</v>
      </c>
      <c r="D373" s="3" t="s">
        <v>3249</v>
      </c>
      <c r="E373" s="3">
        <v>1</v>
      </c>
      <c r="F373" s="3" t="s">
        <v>3220</v>
      </c>
      <c r="G373" s="9">
        <v>261</v>
      </c>
      <c r="H373" s="66">
        <v>7699.5</v>
      </c>
      <c r="I373" s="9">
        <v>304.50700000000001</v>
      </c>
      <c r="J373" s="10">
        <v>1.1666934865900382</v>
      </c>
      <c r="K373" s="66">
        <v>2297.8347753495455</v>
      </c>
      <c r="L373" s="69">
        <v>9997.3347753495455</v>
      </c>
      <c r="M373" s="64">
        <v>0</v>
      </c>
      <c r="N373" s="67">
        <v>0</v>
      </c>
      <c r="O373" s="64">
        <f t="shared" si="10"/>
        <v>9997.3347753495455</v>
      </c>
      <c r="P373" s="64">
        <f t="shared" si="11"/>
        <v>38.303964656511667</v>
      </c>
    </row>
    <row r="374" spans="1:16" ht="15">
      <c r="A374" s="3" t="str">
        <f>"053629"</f>
        <v>053629</v>
      </c>
      <c r="B374" s="3" t="s">
        <v>2618</v>
      </c>
      <c r="C374" s="61" t="s">
        <v>3275</v>
      </c>
      <c r="D374" s="3" t="s">
        <v>3249</v>
      </c>
      <c r="E374" s="3">
        <v>1</v>
      </c>
      <c r="F374" s="3" t="s">
        <v>3220</v>
      </c>
      <c r="G374" s="9">
        <v>1553</v>
      </c>
      <c r="H374" s="66">
        <v>45813.5</v>
      </c>
      <c r="I374" s="9">
        <v>1565.7</v>
      </c>
      <c r="J374" s="10">
        <v>1.0081777205408886</v>
      </c>
      <c r="K374" s="66">
        <v>670.75416937364855</v>
      </c>
      <c r="L374" s="69">
        <v>46484.254169373649</v>
      </c>
      <c r="M374" s="64">
        <v>0</v>
      </c>
      <c r="N374" s="67">
        <v>0</v>
      </c>
      <c r="O374" s="64">
        <f t="shared" si="10"/>
        <v>46484.254169373649</v>
      </c>
      <c r="P374" s="64">
        <f t="shared" si="11"/>
        <v>29.931908673131776</v>
      </c>
    </row>
    <row r="375" spans="1:16" ht="15">
      <c r="A375" s="3" t="str">
        <f>"056069"</f>
        <v>056069</v>
      </c>
      <c r="B375" s="3" t="s">
        <v>2873</v>
      </c>
      <c r="C375" s="61" t="s">
        <v>3275</v>
      </c>
      <c r="D375" s="3" t="s">
        <v>3249</v>
      </c>
      <c r="E375" s="3">
        <v>1</v>
      </c>
      <c r="F375" s="3" t="s">
        <v>3220</v>
      </c>
      <c r="G375" s="9">
        <v>217</v>
      </c>
      <c r="H375" s="66">
        <v>6401.5</v>
      </c>
      <c r="I375" s="9">
        <v>255.435</v>
      </c>
      <c r="J375" s="10">
        <v>1.1771198156682028</v>
      </c>
      <c r="K375" s="66">
        <v>2029.9556299115031</v>
      </c>
      <c r="L375" s="69">
        <v>8431.4556299115029</v>
      </c>
      <c r="M375" s="64">
        <v>0</v>
      </c>
      <c r="N375" s="67">
        <v>0</v>
      </c>
      <c r="O375" s="64">
        <f t="shared" si="10"/>
        <v>8431.4556299115029</v>
      </c>
      <c r="P375" s="64">
        <f t="shared" si="11"/>
        <v>38.854634239223515</v>
      </c>
    </row>
    <row r="376" spans="1:16" ht="15">
      <c r="A376" s="3" t="str">
        <f>"056432"</f>
        <v>056432</v>
      </c>
      <c r="B376" s="3" t="s">
        <v>2727</v>
      </c>
      <c r="C376" s="61" t="s">
        <v>3275</v>
      </c>
      <c r="D376" s="3" t="s">
        <v>3249</v>
      </c>
      <c r="E376" s="3">
        <v>1</v>
      </c>
      <c r="F376" s="3" t="s">
        <v>3220</v>
      </c>
      <c r="G376" s="9">
        <v>168</v>
      </c>
      <c r="H376" s="66">
        <v>4956</v>
      </c>
      <c r="I376" s="9">
        <v>174.63659999999999</v>
      </c>
      <c r="J376" s="10">
        <v>1.0395035714285714</v>
      </c>
      <c r="K376" s="66">
        <v>350.51394649331741</v>
      </c>
      <c r="L376" s="69">
        <v>5306.5139464933172</v>
      </c>
      <c r="M376" s="64">
        <v>0</v>
      </c>
      <c r="N376" s="67">
        <v>0</v>
      </c>
      <c r="O376" s="64">
        <f t="shared" si="10"/>
        <v>5306.5139464933172</v>
      </c>
      <c r="P376" s="64">
        <f t="shared" si="11"/>
        <v>31.586392538650699</v>
      </c>
    </row>
    <row r="377" spans="1:16" ht="15">
      <c r="A377" s="3" t="str">
        <f>"060384"</f>
        <v>060384</v>
      </c>
      <c r="B377" s="3" t="s">
        <v>2619</v>
      </c>
      <c r="C377" s="61" t="s">
        <v>3275</v>
      </c>
      <c r="D377" s="3" t="s">
        <v>3249</v>
      </c>
      <c r="E377" s="3">
        <v>1</v>
      </c>
      <c r="F377" s="3" t="s">
        <v>3220</v>
      </c>
      <c r="G377" s="9">
        <v>148</v>
      </c>
      <c r="H377" s="66">
        <v>4366</v>
      </c>
      <c r="I377" s="9">
        <v>158.80000000000001</v>
      </c>
      <c r="J377" s="10">
        <v>1.0729729729729731</v>
      </c>
      <c r="K377" s="66">
        <v>570.40512041223508</v>
      </c>
      <c r="L377" s="69">
        <v>4936.4051204122352</v>
      </c>
      <c r="M377" s="64">
        <v>0</v>
      </c>
      <c r="N377" s="67">
        <v>0</v>
      </c>
      <c r="O377" s="64">
        <f t="shared" si="10"/>
        <v>4936.4051204122352</v>
      </c>
      <c r="P377" s="64">
        <f t="shared" si="11"/>
        <v>33.354088651434019</v>
      </c>
    </row>
    <row r="378" spans="1:16" ht="15">
      <c r="A378" s="3" t="str">
        <f>"053702"</f>
        <v>053702</v>
      </c>
      <c r="B378" s="3" t="s">
        <v>2623</v>
      </c>
      <c r="C378" s="61" t="s">
        <v>3275</v>
      </c>
      <c r="D378" s="3" t="s">
        <v>3249</v>
      </c>
      <c r="E378" s="3">
        <v>1</v>
      </c>
      <c r="F378" s="3" t="s">
        <v>3220</v>
      </c>
      <c r="G378" s="9">
        <v>692</v>
      </c>
      <c r="H378" s="66">
        <v>20414</v>
      </c>
      <c r="I378" s="9">
        <v>698.7</v>
      </c>
      <c r="J378" s="10">
        <v>1.0096820809248555</v>
      </c>
      <c r="K378" s="66">
        <v>353.862435811296</v>
      </c>
      <c r="L378" s="69">
        <v>20767.862435811297</v>
      </c>
      <c r="M378" s="64">
        <v>0</v>
      </c>
      <c r="N378" s="67">
        <v>0</v>
      </c>
      <c r="O378" s="64">
        <f t="shared" si="10"/>
        <v>20767.862435811297</v>
      </c>
      <c r="P378" s="64">
        <f t="shared" si="11"/>
        <v>30.011361901461413</v>
      </c>
    </row>
    <row r="379" spans="1:16" ht="15">
      <c r="A379" s="3" t="str">
        <f>"056127"</f>
        <v>056127</v>
      </c>
      <c r="B379" s="3" t="s">
        <v>2846</v>
      </c>
      <c r="C379" s="61" t="s">
        <v>3275</v>
      </c>
      <c r="D379" s="3" t="s">
        <v>3249</v>
      </c>
      <c r="E379" s="3">
        <v>1</v>
      </c>
      <c r="F379" s="3" t="s">
        <v>3220</v>
      </c>
      <c r="G379" s="9">
        <v>276</v>
      </c>
      <c r="H379" s="66">
        <v>8142</v>
      </c>
      <c r="I379" s="9">
        <v>307.24799999999999</v>
      </c>
      <c r="J379" s="10">
        <v>1.1132173913043477</v>
      </c>
      <c r="K379" s="66">
        <v>1650.3721483927316</v>
      </c>
      <c r="L379" s="69">
        <v>9792.3721483927311</v>
      </c>
      <c r="M379" s="64">
        <v>0</v>
      </c>
      <c r="N379" s="67">
        <v>0</v>
      </c>
      <c r="O379" s="64">
        <f t="shared" si="10"/>
        <v>9792.3721483927311</v>
      </c>
      <c r="P379" s="64">
        <f t="shared" si="11"/>
        <v>35.479609233306995</v>
      </c>
    </row>
    <row r="380" spans="1:16" ht="15">
      <c r="A380" s="3" t="str">
        <f>"056143"</f>
        <v>056143</v>
      </c>
      <c r="B380" s="3" t="s">
        <v>2952</v>
      </c>
      <c r="C380" s="61" t="s">
        <v>3275</v>
      </c>
      <c r="D380" s="3" t="s">
        <v>3249</v>
      </c>
      <c r="E380" s="3">
        <v>1</v>
      </c>
      <c r="F380" s="3" t="s">
        <v>3220</v>
      </c>
      <c r="G380" s="9">
        <v>407</v>
      </c>
      <c r="H380" s="66">
        <v>12006.5</v>
      </c>
      <c r="I380" s="9">
        <v>426.25159999999994</v>
      </c>
      <c r="J380" s="10">
        <v>1.0473012285012284</v>
      </c>
      <c r="K380" s="66">
        <v>1016.778816308161</v>
      </c>
      <c r="L380" s="69">
        <v>13023.27881630816</v>
      </c>
      <c r="M380" s="64">
        <v>0</v>
      </c>
      <c r="N380" s="67">
        <v>0</v>
      </c>
      <c r="O380" s="64">
        <f t="shared" si="10"/>
        <v>13023.27881630816</v>
      </c>
      <c r="P380" s="64">
        <f t="shared" si="11"/>
        <v>31.9982280498972</v>
      </c>
    </row>
    <row r="381" spans="1:16" ht="15">
      <c r="A381" s="3" t="str">
        <f>"056408"</f>
        <v>056408</v>
      </c>
      <c r="B381" s="3" t="s">
        <v>2689</v>
      </c>
      <c r="C381" s="61" t="s">
        <v>3275</v>
      </c>
      <c r="D381" s="3" t="s">
        <v>3249</v>
      </c>
      <c r="E381" s="3">
        <v>1</v>
      </c>
      <c r="F381" s="3" t="s">
        <v>3220</v>
      </c>
      <c r="G381" s="9">
        <v>211</v>
      </c>
      <c r="H381" s="66">
        <v>6224.5</v>
      </c>
      <c r="I381" s="9">
        <v>219.03659999999999</v>
      </c>
      <c r="J381" s="10">
        <v>1.0380881516587677</v>
      </c>
      <c r="K381" s="66">
        <v>424.45535099119996</v>
      </c>
      <c r="L381" s="69">
        <v>6648.9553509912002</v>
      </c>
      <c r="M381" s="64">
        <v>0</v>
      </c>
      <c r="N381" s="67">
        <v>0</v>
      </c>
      <c r="O381" s="64">
        <f t="shared" si="10"/>
        <v>6648.9553509912002</v>
      </c>
      <c r="P381" s="64">
        <f t="shared" si="11"/>
        <v>31.511636734555452</v>
      </c>
    </row>
    <row r="382" spans="1:16" ht="15">
      <c r="A382" s="3" t="str">
        <f>"056358"</f>
        <v>056358</v>
      </c>
      <c r="B382" s="3" t="s">
        <v>2956</v>
      </c>
      <c r="C382" s="61" t="s">
        <v>3275</v>
      </c>
      <c r="D382" s="3" t="s">
        <v>3249</v>
      </c>
      <c r="E382" s="3">
        <v>1</v>
      </c>
      <c r="F382" s="3" t="s">
        <v>3220</v>
      </c>
      <c r="G382" s="9">
        <v>160</v>
      </c>
      <c r="H382" s="66">
        <v>4720</v>
      </c>
      <c r="I382" s="9">
        <v>177.88040000000001</v>
      </c>
      <c r="J382" s="10">
        <v>1.1117525000000001</v>
      </c>
      <c r="K382" s="66">
        <v>944.35849213138169</v>
      </c>
      <c r="L382" s="69">
        <v>5664.3584921313814</v>
      </c>
      <c r="M382" s="64">
        <v>0</v>
      </c>
      <c r="N382" s="67">
        <v>0</v>
      </c>
      <c r="O382" s="64">
        <f t="shared" si="10"/>
        <v>5664.3584921313814</v>
      </c>
      <c r="P382" s="64">
        <f t="shared" si="11"/>
        <v>35.402240575821132</v>
      </c>
    </row>
    <row r="383" spans="1:16" ht="15">
      <c r="A383" s="3" t="str">
        <f>"056721"</f>
        <v>056721</v>
      </c>
      <c r="B383" s="3" t="s">
        <v>2872</v>
      </c>
      <c r="C383" s="61" t="s">
        <v>3275</v>
      </c>
      <c r="D383" s="3" t="s">
        <v>3249</v>
      </c>
      <c r="E383" s="3">
        <v>1</v>
      </c>
      <c r="F383" s="3" t="s">
        <v>3220</v>
      </c>
      <c r="G383" s="9">
        <v>221</v>
      </c>
      <c r="H383" s="66">
        <v>6519.5</v>
      </c>
      <c r="I383" s="9">
        <v>238.69759999999999</v>
      </c>
      <c r="J383" s="10">
        <v>1.0800796380090498</v>
      </c>
      <c r="K383" s="66">
        <v>934.7038573155146</v>
      </c>
      <c r="L383" s="69">
        <v>7454.2038573155151</v>
      </c>
      <c r="M383" s="64">
        <v>0</v>
      </c>
      <c r="N383" s="67">
        <v>0</v>
      </c>
      <c r="O383" s="64">
        <f t="shared" si="10"/>
        <v>7454.2038573155151</v>
      </c>
      <c r="P383" s="64">
        <f t="shared" si="11"/>
        <v>33.729429218622244</v>
      </c>
    </row>
    <row r="384" spans="1:16" ht="15">
      <c r="A384" s="3" t="str">
        <f>"056606"</f>
        <v>056606</v>
      </c>
      <c r="B384" s="3" t="s">
        <v>2756</v>
      </c>
      <c r="C384" s="61" t="s">
        <v>3275</v>
      </c>
      <c r="D384" s="3" t="s">
        <v>3249</v>
      </c>
      <c r="E384" s="3">
        <v>1</v>
      </c>
      <c r="F384" s="3" t="s">
        <v>3220</v>
      </c>
      <c r="G384" s="9">
        <v>234</v>
      </c>
      <c r="H384" s="66">
        <v>6903</v>
      </c>
      <c r="I384" s="9">
        <v>243.81139999999999</v>
      </c>
      <c r="J384" s="10">
        <v>1.0419290598290598</v>
      </c>
      <c r="K384" s="66">
        <v>518.19192577894387</v>
      </c>
      <c r="L384" s="69">
        <v>7421.1919257789441</v>
      </c>
      <c r="M384" s="64">
        <v>0</v>
      </c>
      <c r="N384" s="67">
        <v>0</v>
      </c>
      <c r="O384" s="64">
        <f t="shared" si="10"/>
        <v>7421.1919257789441</v>
      </c>
      <c r="P384" s="64">
        <f t="shared" si="11"/>
        <v>31.714495409311727</v>
      </c>
    </row>
    <row r="385" spans="1:16" ht="15">
      <c r="A385" s="3" t="str">
        <f>"056598"</f>
        <v>056598</v>
      </c>
      <c r="B385" s="3" t="s">
        <v>2745</v>
      </c>
      <c r="C385" s="61" t="s">
        <v>3275</v>
      </c>
      <c r="D385" s="3" t="s">
        <v>3249</v>
      </c>
      <c r="E385" s="3">
        <v>1</v>
      </c>
      <c r="F385" s="3" t="s">
        <v>3220</v>
      </c>
      <c r="G385" s="9">
        <v>332</v>
      </c>
      <c r="H385" s="66">
        <v>9794</v>
      </c>
      <c r="I385" s="9">
        <v>340.774</v>
      </c>
      <c r="J385" s="10">
        <v>1.0264277108433735</v>
      </c>
      <c r="K385" s="66">
        <v>463.40134504601355</v>
      </c>
      <c r="L385" s="69">
        <v>10257.401345046013</v>
      </c>
      <c r="M385" s="64">
        <v>0</v>
      </c>
      <c r="N385" s="67">
        <v>0</v>
      </c>
      <c r="O385" s="64">
        <f t="shared" si="10"/>
        <v>10257.401345046013</v>
      </c>
      <c r="P385" s="64">
        <f t="shared" si="11"/>
        <v>30.895787183873534</v>
      </c>
    </row>
    <row r="386" spans="1:16" ht="15">
      <c r="A386" s="3" t="str">
        <f>"060509"</f>
        <v>060509</v>
      </c>
      <c r="B386" s="3" t="s">
        <v>2590</v>
      </c>
      <c r="C386" s="61" t="s">
        <v>3275</v>
      </c>
      <c r="D386" s="3" t="s">
        <v>3249</v>
      </c>
      <c r="E386" s="3">
        <v>1</v>
      </c>
      <c r="F386" s="3" t="s">
        <v>3220</v>
      </c>
      <c r="G386" s="9">
        <v>143</v>
      </c>
      <c r="H386" s="66">
        <v>4218.5</v>
      </c>
      <c r="I386" s="9">
        <v>143</v>
      </c>
      <c r="J386" s="10">
        <v>1</v>
      </c>
      <c r="K386" s="66">
        <v>0</v>
      </c>
      <c r="L386" s="69">
        <v>4218.5</v>
      </c>
      <c r="M386" s="64">
        <v>0</v>
      </c>
      <c r="N386" s="67">
        <v>0</v>
      </c>
      <c r="O386" s="64">
        <f t="shared" si="10"/>
        <v>4218.5</v>
      </c>
      <c r="P386" s="64">
        <f t="shared" si="11"/>
        <v>29.5</v>
      </c>
    </row>
    <row r="387" spans="1:16" ht="15">
      <c r="A387" s="3" t="str">
        <f>"056366"</f>
        <v>056366</v>
      </c>
      <c r="B387" s="3" t="s">
        <v>2914</v>
      </c>
      <c r="C387" s="61" t="s">
        <v>3275</v>
      </c>
      <c r="D387" s="3" t="s">
        <v>3249</v>
      </c>
      <c r="E387" s="3">
        <v>1</v>
      </c>
      <c r="F387" s="3" t="s">
        <v>3220</v>
      </c>
      <c r="G387" s="9">
        <v>654</v>
      </c>
      <c r="H387" s="66">
        <v>19293</v>
      </c>
      <c r="I387" s="9">
        <v>682.7586</v>
      </c>
      <c r="J387" s="10">
        <v>1.0439733944954128</v>
      </c>
      <c r="K387" s="66">
        <v>1518.8937681377117</v>
      </c>
      <c r="L387" s="69">
        <v>20811.89376813771</v>
      </c>
      <c r="M387" s="64">
        <v>0</v>
      </c>
      <c r="N387" s="67">
        <v>0</v>
      </c>
      <c r="O387" s="64">
        <f t="shared" ref="O387:O450" si="12">(N387+L387)</f>
        <v>20811.89376813771</v>
      </c>
      <c r="P387" s="64">
        <f t="shared" ref="P387:P450" si="13">O387/G387</f>
        <v>31.822467535378763</v>
      </c>
    </row>
    <row r="388" spans="1:16" ht="15">
      <c r="A388" s="3" t="str">
        <f>"056820"</f>
        <v>056820</v>
      </c>
      <c r="B388" s="3" t="s">
        <v>2719</v>
      </c>
      <c r="C388" s="61" t="s">
        <v>3275</v>
      </c>
      <c r="D388" s="3" t="s">
        <v>3249</v>
      </c>
      <c r="E388" s="3">
        <v>1</v>
      </c>
      <c r="F388" s="3" t="s">
        <v>3220</v>
      </c>
      <c r="G388" s="9">
        <v>257</v>
      </c>
      <c r="H388" s="66">
        <v>7581.5</v>
      </c>
      <c r="I388" s="9">
        <v>262.89920000000001</v>
      </c>
      <c r="J388" s="10">
        <v>1.022954085603113</v>
      </c>
      <c r="K388" s="66">
        <v>311.56795243850542</v>
      </c>
      <c r="L388" s="69">
        <v>7893.067952438505</v>
      </c>
      <c r="M388" s="64">
        <v>0</v>
      </c>
      <c r="N388" s="67">
        <v>0</v>
      </c>
      <c r="O388" s="64">
        <f t="shared" si="12"/>
        <v>7893.067952438505</v>
      </c>
      <c r="P388" s="64">
        <f t="shared" si="13"/>
        <v>30.712326663184843</v>
      </c>
    </row>
    <row r="389" spans="1:16" ht="15">
      <c r="A389" s="3" t="str">
        <f>"056242"</f>
        <v>056242</v>
      </c>
      <c r="B389" s="3" t="s">
        <v>3010</v>
      </c>
      <c r="C389" s="61" t="s">
        <v>3275</v>
      </c>
      <c r="D389" s="3" t="s">
        <v>3249</v>
      </c>
      <c r="E389" s="3">
        <v>1</v>
      </c>
      <c r="F389" s="3" t="s">
        <v>3220</v>
      </c>
      <c r="G389" s="9">
        <v>124</v>
      </c>
      <c r="H389" s="66">
        <v>3658</v>
      </c>
      <c r="I389" s="9">
        <v>154.8886</v>
      </c>
      <c r="J389" s="10">
        <v>1.2491016129032257</v>
      </c>
      <c r="K389" s="66">
        <v>1631.3903335523466</v>
      </c>
      <c r="L389" s="69">
        <v>5289.3903335523464</v>
      </c>
      <c r="M389" s="64">
        <v>0</v>
      </c>
      <c r="N389" s="67">
        <v>0</v>
      </c>
      <c r="O389" s="64">
        <f t="shared" si="12"/>
        <v>5289.3903335523464</v>
      </c>
      <c r="P389" s="64">
        <f t="shared" si="13"/>
        <v>42.656373657680213</v>
      </c>
    </row>
    <row r="390" spans="1:16" ht="15">
      <c r="A390" s="3" t="str">
        <f>"056267"</f>
        <v>056267</v>
      </c>
      <c r="B390" s="3" t="s">
        <v>2985</v>
      </c>
      <c r="C390" s="61" t="s">
        <v>3275</v>
      </c>
      <c r="D390" s="3" t="s">
        <v>3249</v>
      </c>
      <c r="E390" s="3">
        <v>1</v>
      </c>
      <c r="F390" s="3" t="s">
        <v>3220</v>
      </c>
      <c r="G390" s="9">
        <v>204</v>
      </c>
      <c r="H390" s="66">
        <v>6018</v>
      </c>
      <c r="I390" s="9">
        <v>240.9914</v>
      </c>
      <c r="J390" s="10">
        <v>1.1813303921568628</v>
      </c>
      <c r="K390" s="66">
        <v>1953.7114788164008</v>
      </c>
      <c r="L390" s="69">
        <v>7971.7114788164008</v>
      </c>
      <c r="M390" s="64">
        <v>0</v>
      </c>
      <c r="N390" s="67">
        <v>0</v>
      </c>
      <c r="O390" s="64">
        <f t="shared" si="12"/>
        <v>7971.7114788164008</v>
      </c>
      <c r="P390" s="64">
        <f t="shared" si="13"/>
        <v>39.077017053021571</v>
      </c>
    </row>
    <row r="391" spans="1:16" ht="15">
      <c r="A391" s="3" t="str">
        <f>"056283"</f>
        <v>056283</v>
      </c>
      <c r="B391" s="3" t="s">
        <v>2907</v>
      </c>
      <c r="C391" s="61" t="s">
        <v>3275</v>
      </c>
      <c r="D391" s="3" t="s">
        <v>3249</v>
      </c>
      <c r="E391" s="3">
        <v>1</v>
      </c>
      <c r="F391" s="3" t="s">
        <v>3220</v>
      </c>
      <c r="G391" s="9">
        <v>191</v>
      </c>
      <c r="H391" s="66">
        <v>5634.5</v>
      </c>
      <c r="I391" s="9">
        <v>221.50399999999999</v>
      </c>
      <c r="J391" s="10">
        <v>1.1597068062827225</v>
      </c>
      <c r="K391" s="66">
        <v>1611.0775734309996</v>
      </c>
      <c r="L391" s="69">
        <v>7245.5775734309991</v>
      </c>
      <c r="M391" s="64">
        <v>0</v>
      </c>
      <c r="N391" s="67">
        <v>0</v>
      </c>
      <c r="O391" s="64">
        <f t="shared" si="12"/>
        <v>7245.5775734309991</v>
      </c>
      <c r="P391" s="64">
        <f t="shared" si="13"/>
        <v>37.934961117439784</v>
      </c>
    </row>
    <row r="392" spans="1:16" ht="15">
      <c r="A392" s="3" t="str">
        <f>"060533"</f>
        <v>060533</v>
      </c>
      <c r="B392" s="3" t="s">
        <v>3134</v>
      </c>
      <c r="C392" s="61" t="s">
        <v>3275</v>
      </c>
      <c r="D392" s="3" t="s">
        <v>3249</v>
      </c>
      <c r="E392" s="3">
        <v>1</v>
      </c>
      <c r="F392" s="3" t="s">
        <v>3220</v>
      </c>
      <c r="G392" s="9">
        <v>7</v>
      </c>
      <c r="H392" s="66">
        <v>206.5</v>
      </c>
      <c r="I392" s="9">
        <v>7</v>
      </c>
      <c r="J392" s="10">
        <v>1</v>
      </c>
      <c r="K392" s="66">
        <v>0</v>
      </c>
      <c r="L392" s="69">
        <v>206.5</v>
      </c>
      <c r="M392" s="64">
        <v>0</v>
      </c>
      <c r="N392" s="67">
        <v>0</v>
      </c>
      <c r="O392" s="64">
        <f t="shared" si="12"/>
        <v>206.5</v>
      </c>
      <c r="P392" s="64">
        <f t="shared" si="13"/>
        <v>29.5</v>
      </c>
    </row>
    <row r="393" spans="1:16" ht="15">
      <c r="A393" s="3" t="str">
        <f>"056424"</f>
        <v>056424</v>
      </c>
      <c r="B393" s="3" t="s">
        <v>2742</v>
      </c>
      <c r="C393" s="61" t="s">
        <v>3275</v>
      </c>
      <c r="D393" s="3" t="s">
        <v>3249</v>
      </c>
      <c r="E393" s="3">
        <v>1</v>
      </c>
      <c r="F393" s="3" t="s">
        <v>3220</v>
      </c>
      <c r="G393" s="9">
        <v>204</v>
      </c>
      <c r="H393" s="66">
        <v>6018</v>
      </c>
      <c r="I393" s="9">
        <v>219.4862</v>
      </c>
      <c r="J393" s="10">
        <v>1.0759127450980392</v>
      </c>
      <c r="K393" s="66">
        <v>817.90812738221712</v>
      </c>
      <c r="L393" s="69">
        <v>6835.9081273822176</v>
      </c>
      <c r="M393" s="64">
        <v>0</v>
      </c>
      <c r="N393" s="67">
        <v>0</v>
      </c>
      <c r="O393" s="64">
        <f t="shared" si="12"/>
        <v>6835.9081273822176</v>
      </c>
      <c r="P393" s="64">
        <f t="shared" si="13"/>
        <v>33.509353565599106</v>
      </c>
    </row>
    <row r="394" spans="1:16" ht="15">
      <c r="A394" s="3" t="s">
        <v>272</v>
      </c>
      <c r="B394" s="3" t="s">
        <v>1804</v>
      </c>
      <c r="C394" s="61" t="s">
        <v>3275</v>
      </c>
      <c r="D394" s="3" t="s">
        <v>1684</v>
      </c>
      <c r="E394" s="3">
        <v>1</v>
      </c>
      <c r="F394" s="3" t="s">
        <v>3266</v>
      </c>
      <c r="G394" s="9">
        <v>216.865489</v>
      </c>
      <c r="H394" s="66">
        <v>6397.5319254999995</v>
      </c>
      <c r="I394" s="9">
        <v>278.12849000801901</v>
      </c>
      <c r="J394" s="10">
        <v>1.2824930849556198</v>
      </c>
      <c r="K394" s="66">
        <v>3235.6230987772155</v>
      </c>
      <c r="L394" s="69">
        <v>9633.1550242772155</v>
      </c>
      <c r="M394" s="64">
        <v>0</v>
      </c>
      <c r="N394" s="67">
        <v>0</v>
      </c>
      <c r="O394" s="64">
        <f t="shared" si="12"/>
        <v>9633.1550242772155</v>
      </c>
      <c r="P394" s="64">
        <f t="shared" si="13"/>
        <v>44.419953901827206</v>
      </c>
    </row>
    <row r="395" spans="1:16" ht="15">
      <c r="A395" s="3" t="str">
        <f>"016689"</f>
        <v>016689</v>
      </c>
      <c r="B395" s="3" t="s">
        <v>2609</v>
      </c>
      <c r="C395" s="61" t="s">
        <v>3275</v>
      </c>
      <c r="D395" s="3" t="s">
        <v>3249</v>
      </c>
      <c r="E395" s="3">
        <v>1</v>
      </c>
      <c r="F395" s="3" t="s">
        <v>3220</v>
      </c>
      <c r="G395" s="9">
        <v>23</v>
      </c>
      <c r="H395" s="66">
        <v>678.5</v>
      </c>
      <c r="I395" s="9">
        <v>23</v>
      </c>
      <c r="J395" s="10">
        <v>1</v>
      </c>
      <c r="K395" s="66">
        <v>0</v>
      </c>
      <c r="L395" s="69">
        <v>678.5</v>
      </c>
      <c r="M395" s="64">
        <v>0</v>
      </c>
      <c r="N395" s="67">
        <v>0</v>
      </c>
      <c r="O395" s="64">
        <f t="shared" si="12"/>
        <v>678.5</v>
      </c>
      <c r="P395" s="64">
        <f t="shared" si="13"/>
        <v>29.5</v>
      </c>
    </row>
    <row r="396" spans="1:16" ht="15">
      <c r="A396" s="3" t="s">
        <v>273</v>
      </c>
      <c r="B396" s="3" t="s">
        <v>274</v>
      </c>
      <c r="C396" s="61" t="s">
        <v>3275</v>
      </c>
      <c r="D396" s="3" t="s">
        <v>1684</v>
      </c>
      <c r="E396" s="3">
        <v>1</v>
      </c>
      <c r="F396" s="3" t="s">
        <v>3266</v>
      </c>
      <c r="G396" s="9">
        <v>105.335442</v>
      </c>
      <c r="H396" s="66">
        <v>3107.3955390000001</v>
      </c>
      <c r="I396" s="9">
        <v>133.04566792582099</v>
      </c>
      <c r="J396" s="10">
        <v>1.2630664987936444</v>
      </c>
      <c r="K396" s="66">
        <v>1463.5235885063098</v>
      </c>
      <c r="L396" s="69">
        <v>4570.9191275063095</v>
      </c>
      <c r="M396" s="64">
        <v>0</v>
      </c>
      <c r="N396" s="67">
        <v>0</v>
      </c>
      <c r="O396" s="64">
        <f t="shared" si="12"/>
        <v>4570.9191275063095</v>
      </c>
      <c r="P396" s="64">
        <f t="shared" si="13"/>
        <v>43.393933140816074</v>
      </c>
    </row>
    <row r="397" spans="1:16" ht="15">
      <c r="A397" s="3" t="s">
        <v>793</v>
      </c>
      <c r="B397" s="3" t="s">
        <v>794</v>
      </c>
      <c r="C397" s="61" t="s">
        <v>3275</v>
      </c>
      <c r="D397" s="3" t="s">
        <v>3248</v>
      </c>
      <c r="E397" s="3">
        <v>1</v>
      </c>
      <c r="F397" s="3" t="s">
        <v>1906</v>
      </c>
      <c r="G397" s="9">
        <v>5349.9439089999996</v>
      </c>
      <c r="H397" s="66">
        <v>157823.34531549999</v>
      </c>
      <c r="I397" s="9">
        <v>6236.81637444235</v>
      </c>
      <c r="J397" s="10">
        <v>1.165772292294579</v>
      </c>
      <c r="K397" s="66">
        <v>46840.425503790662</v>
      </c>
      <c r="L397" s="69">
        <v>204663.77081929066</v>
      </c>
      <c r="M397" s="64">
        <v>4026927.0499472152</v>
      </c>
      <c r="N397" s="67">
        <v>80716.940640120942</v>
      </c>
      <c r="O397" s="64">
        <f t="shared" si="12"/>
        <v>285380.7114594116</v>
      </c>
      <c r="P397" s="64">
        <f t="shared" si="13"/>
        <v>53.3427483191603</v>
      </c>
    </row>
    <row r="398" spans="1:16" ht="15">
      <c r="A398" s="3" t="str">
        <f>"056853"</f>
        <v>056853</v>
      </c>
      <c r="B398" s="3" t="s">
        <v>2865</v>
      </c>
      <c r="C398" s="61" t="s">
        <v>3275</v>
      </c>
      <c r="D398" s="3" t="s">
        <v>3249</v>
      </c>
      <c r="E398" s="3">
        <v>1</v>
      </c>
      <c r="F398" s="3" t="s">
        <v>3220</v>
      </c>
      <c r="G398" s="9">
        <v>581</v>
      </c>
      <c r="H398" s="66">
        <v>17139.5</v>
      </c>
      <c r="I398" s="9">
        <v>600.56020000000001</v>
      </c>
      <c r="J398" s="10">
        <v>1.0336664371772806</v>
      </c>
      <c r="K398" s="66">
        <v>1033.0776144710551</v>
      </c>
      <c r="L398" s="69">
        <v>18172.577614471054</v>
      </c>
      <c r="M398" s="64">
        <v>0</v>
      </c>
      <c r="N398" s="67">
        <v>0</v>
      </c>
      <c r="O398" s="64">
        <f t="shared" si="12"/>
        <v>18172.577614471054</v>
      </c>
      <c r="P398" s="64">
        <f t="shared" si="13"/>
        <v>31.278102606662745</v>
      </c>
    </row>
    <row r="399" spans="1:16" ht="15">
      <c r="A399" s="3" t="s">
        <v>25</v>
      </c>
      <c r="B399" s="3" t="s">
        <v>26</v>
      </c>
      <c r="C399" s="61" t="s">
        <v>3275</v>
      </c>
      <c r="D399" s="3" t="s">
        <v>1684</v>
      </c>
      <c r="E399" s="3">
        <v>1</v>
      </c>
      <c r="F399" s="3" t="s">
        <v>3266</v>
      </c>
      <c r="G399" s="9">
        <v>186.05785700000001</v>
      </c>
      <c r="H399" s="66">
        <v>5488.7067815</v>
      </c>
      <c r="I399" s="9">
        <v>533.16195510522596</v>
      </c>
      <c r="J399" s="10">
        <v>2.8655707622453477</v>
      </c>
      <c r="K399" s="66">
        <v>18332.403229193656</v>
      </c>
      <c r="L399" s="69">
        <v>23821.110010693657</v>
      </c>
      <c r="M399" s="64">
        <v>0</v>
      </c>
      <c r="N399" s="67">
        <v>0</v>
      </c>
      <c r="O399" s="64">
        <f t="shared" si="12"/>
        <v>23821.110010693657</v>
      </c>
      <c r="P399" s="64">
        <f t="shared" si="13"/>
        <v>128.03065882186129</v>
      </c>
    </row>
    <row r="400" spans="1:16" ht="15">
      <c r="A400" s="3" t="s">
        <v>318</v>
      </c>
      <c r="B400" s="3" t="s">
        <v>319</v>
      </c>
      <c r="C400" s="61" t="s">
        <v>3275</v>
      </c>
      <c r="D400" s="3" t="s">
        <v>1684</v>
      </c>
      <c r="E400" s="3">
        <v>1</v>
      </c>
      <c r="F400" s="3" t="s">
        <v>3266</v>
      </c>
      <c r="G400" s="9">
        <v>114.716313</v>
      </c>
      <c r="H400" s="66">
        <v>3384.1312334999998</v>
      </c>
      <c r="I400" s="9">
        <v>145.53693750509299</v>
      </c>
      <c r="J400" s="10">
        <v>1.2686681928584385</v>
      </c>
      <c r="K400" s="66">
        <v>1627.8001881488735</v>
      </c>
      <c r="L400" s="69">
        <v>5011.9314216488729</v>
      </c>
      <c r="M400" s="64">
        <v>0</v>
      </c>
      <c r="N400" s="67">
        <v>0</v>
      </c>
      <c r="O400" s="64">
        <f t="shared" si="12"/>
        <v>5011.9314216488729</v>
      </c>
      <c r="P400" s="64">
        <f t="shared" si="13"/>
        <v>43.689788231329167</v>
      </c>
    </row>
    <row r="401" spans="1:16" ht="15">
      <c r="A401" s="3" t="str">
        <f>"015179"</f>
        <v>015179</v>
      </c>
      <c r="B401" s="3" t="s">
        <v>2814</v>
      </c>
      <c r="C401" s="61" t="s">
        <v>3275</v>
      </c>
      <c r="D401" s="3" t="s">
        <v>3249</v>
      </c>
      <c r="E401" s="3">
        <v>1</v>
      </c>
      <c r="F401" s="3" t="s">
        <v>3220</v>
      </c>
      <c r="G401" s="9">
        <v>25</v>
      </c>
      <c r="H401" s="66">
        <v>737.5</v>
      </c>
      <c r="I401" s="9">
        <v>37.361000000000004</v>
      </c>
      <c r="J401" s="10">
        <v>1.4944400000000002</v>
      </c>
      <c r="K401" s="66">
        <v>652.84978642737349</v>
      </c>
      <c r="L401" s="69">
        <v>1390.3497864273736</v>
      </c>
      <c r="M401" s="64">
        <v>0</v>
      </c>
      <c r="N401" s="67">
        <v>0</v>
      </c>
      <c r="O401" s="64">
        <f t="shared" si="12"/>
        <v>1390.3497864273736</v>
      </c>
      <c r="P401" s="64">
        <f t="shared" si="13"/>
        <v>55.613991457094947</v>
      </c>
    </row>
    <row r="402" spans="1:16" ht="15">
      <c r="A402" s="3" t="str">
        <f>"016978"</f>
        <v>016978</v>
      </c>
      <c r="B402" s="3" t="s">
        <v>2608</v>
      </c>
      <c r="C402" s="61" t="s">
        <v>3275</v>
      </c>
      <c r="D402" s="3" t="s">
        <v>3249</v>
      </c>
      <c r="E402" s="3">
        <v>1</v>
      </c>
      <c r="F402" s="3" t="s">
        <v>3220</v>
      </c>
      <c r="G402" s="9">
        <v>20</v>
      </c>
      <c r="H402" s="66">
        <v>590</v>
      </c>
      <c r="I402" s="9">
        <v>20</v>
      </c>
      <c r="J402" s="10">
        <v>1</v>
      </c>
      <c r="K402" s="66">
        <v>0</v>
      </c>
      <c r="L402" s="69">
        <v>590</v>
      </c>
      <c r="M402" s="64">
        <v>0</v>
      </c>
      <c r="N402" s="67">
        <v>0</v>
      </c>
      <c r="O402" s="64">
        <f t="shared" si="12"/>
        <v>590</v>
      </c>
      <c r="P402" s="64">
        <f t="shared" si="13"/>
        <v>29.5</v>
      </c>
    </row>
    <row r="403" spans="1:16" ht="15">
      <c r="A403" s="3" t="str">
        <f>"060905"</f>
        <v>060905</v>
      </c>
      <c r="B403" s="3" t="s">
        <v>3128</v>
      </c>
      <c r="C403" s="61" t="s">
        <v>3275</v>
      </c>
      <c r="D403" s="3" t="s">
        <v>3249</v>
      </c>
      <c r="E403" s="3">
        <v>1</v>
      </c>
      <c r="F403" s="3" t="s">
        <v>3220</v>
      </c>
      <c r="G403" s="9">
        <v>396</v>
      </c>
      <c r="H403" s="66">
        <v>11682</v>
      </c>
      <c r="I403" s="9">
        <v>396</v>
      </c>
      <c r="J403" s="10">
        <v>1</v>
      </c>
      <c r="K403" s="66">
        <v>0</v>
      </c>
      <c r="L403" s="69">
        <v>11682</v>
      </c>
      <c r="M403" s="64">
        <v>0</v>
      </c>
      <c r="N403" s="67">
        <v>0</v>
      </c>
      <c r="O403" s="64">
        <f t="shared" si="12"/>
        <v>11682</v>
      </c>
      <c r="P403" s="64">
        <f t="shared" si="13"/>
        <v>29.5</v>
      </c>
    </row>
    <row r="404" spans="1:16" ht="15">
      <c r="A404" s="3" t="str">
        <f>"053926"</f>
        <v>053926</v>
      </c>
      <c r="B404" s="3" t="s">
        <v>3137</v>
      </c>
      <c r="C404" s="61" t="s">
        <v>3275</v>
      </c>
      <c r="D404" s="3" t="s">
        <v>3249</v>
      </c>
      <c r="E404" s="3">
        <v>1</v>
      </c>
      <c r="F404" s="3" t="s">
        <v>3220</v>
      </c>
      <c r="G404" s="9">
        <v>419</v>
      </c>
      <c r="H404" s="66">
        <v>12360.5</v>
      </c>
      <c r="I404" s="9">
        <v>419</v>
      </c>
      <c r="J404" s="10">
        <v>1</v>
      </c>
      <c r="K404" s="66">
        <v>0</v>
      </c>
      <c r="L404" s="69">
        <v>12360.5</v>
      </c>
      <c r="M404" s="64">
        <v>0</v>
      </c>
      <c r="N404" s="67">
        <v>0</v>
      </c>
      <c r="O404" s="64">
        <f t="shared" si="12"/>
        <v>12360.5</v>
      </c>
      <c r="P404" s="64">
        <f t="shared" si="13"/>
        <v>29.5</v>
      </c>
    </row>
    <row r="405" spans="1:16" ht="15">
      <c r="A405" s="3" t="str">
        <f>"053256"</f>
        <v>053256</v>
      </c>
      <c r="B405" s="3" t="s">
        <v>2811</v>
      </c>
      <c r="C405" s="61" t="s">
        <v>3275</v>
      </c>
      <c r="D405" s="3" t="s">
        <v>3249</v>
      </c>
      <c r="E405" s="3">
        <v>1</v>
      </c>
      <c r="F405" s="3" t="s">
        <v>3220</v>
      </c>
      <c r="G405" s="9">
        <v>355</v>
      </c>
      <c r="H405" s="66">
        <v>10472.5</v>
      </c>
      <c r="I405" s="9">
        <v>386.17319999999995</v>
      </c>
      <c r="J405" s="10">
        <v>1.0878118309859153</v>
      </c>
      <c r="K405" s="66">
        <v>1646.4215647809854</v>
      </c>
      <c r="L405" s="69">
        <v>12118.921564780985</v>
      </c>
      <c r="M405" s="64">
        <v>0</v>
      </c>
      <c r="N405" s="67">
        <v>0</v>
      </c>
      <c r="O405" s="64">
        <f t="shared" si="12"/>
        <v>12118.921564780985</v>
      </c>
      <c r="P405" s="64">
        <f t="shared" si="13"/>
        <v>34.13780722473517</v>
      </c>
    </row>
    <row r="406" spans="1:16" ht="15">
      <c r="A406" s="3" t="s">
        <v>254</v>
      </c>
      <c r="B406" s="3" t="s">
        <v>1800</v>
      </c>
      <c r="C406" s="61" t="s">
        <v>3275</v>
      </c>
      <c r="D406" s="3" t="s">
        <v>1684</v>
      </c>
      <c r="E406" s="3">
        <v>1</v>
      </c>
      <c r="F406" s="3" t="s">
        <v>3266</v>
      </c>
      <c r="G406" s="9">
        <v>288.071011</v>
      </c>
      <c r="H406" s="66">
        <v>8498.0948245</v>
      </c>
      <c r="I406" s="9">
        <v>415.893563140526</v>
      </c>
      <c r="J406" s="10">
        <v>1.443718900061506</v>
      </c>
      <c r="K406" s="66">
        <v>6750.9850226959124</v>
      </c>
      <c r="L406" s="69">
        <v>15249.079847195913</v>
      </c>
      <c r="M406" s="64">
        <v>0</v>
      </c>
      <c r="N406" s="67">
        <v>0</v>
      </c>
      <c r="O406" s="64">
        <f t="shared" si="12"/>
        <v>15249.079847195913</v>
      </c>
      <c r="P406" s="64">
        <f t="shared" si="13"/>
        <v>52.935141909145152</v>
      </c>
    </row>
    <row r="407" spans="1:16" ht="15">
      <c r="A407" s="3" t="str">
        <f>"018011"</f>
        <v>018011</v>
      </c>
      <c r="B407" s="3" t="s">
        <v>3015</v>
      </c>
      <c r="C407" s="61" t="s">
        <v>3275</v>
      </c>
      <c r="D407" s="3" t="s">
        <v>3249</v>
      </c>
      <c r="E407" s="3">
        <v>1</v>
      </c>
      <c r="F407" s="3" t="s">
        <v>3220</v>
      </c>
      <c r="G407" s="9">
        <v>503</v>
      </c>
      <c r="H407" s="66">
        <v>14838.5</v>
      </c>
      <c r="I407" s="9">
        <v>570.83999999999992</v>
      </c>
      <c r="J407" s="10">
        <v>1.1348707753479124</v>
      </c>
      <c r="K407" s="66">
        <v>3582.9892008116612</v>
      </c>
      <c r="L407" s="69">
        <v>18421.489200811662</v>
      </c>
      <c r="M407" s="64">
        <v>0</v>
      </c>
      <c r="N407" s="67">
        <v>0</v>
      </c>
      <c r="O407" s="64">
        <f t="shared" si="12"/>
        <v>18421.489200811662</v>
      </c>
      <c r="P407" s="64">
        <f t="shared" si="13"/>
        <v>36.623238967816427</v>
      </c>
    </row>
    <row r="408" spans="1:16" ht="15">
      <c r="A408" s="3" t="str">
        <f>"053660"</f>
        <v>053660</v>
      </c>
      <c r="B408" s="3" t="s">
        <v>3004</v>
      </c>
      <c r="C408" s="61" t="s">
        <v>3275</v>
      </c>
      <c r="D408" s="3" t="s">
        <v>3249</v>
      </c>
      <c r="E408" s="3">
        <v>1</v>
      </c>
      <c r="F408" s="3" t="s">
        <v>3220</v>
      </c>
      <c r="G408" s="9">
        <v>455</v>
      </c>
      <c r="H408" s="66">
        <v>13422.5</v>
      </c>
      <c r="I408" s="9">
        <v>513.54179999999997</v>
      </c>
      <c r="J408" s="10">
        <v>1.1286632967032966</v>
      </c>
      <c r="K408" s="66">
        <v>3091.902081310086</v>
      </c>
      <c r="L408" s="69">
        <v>16514.402081310087</v>
      </c>
      <c r="M408" s="64">
        <v>0</v>
      </c>
      <c r="N408" s="67">
        <v>0</v>
      </c>
      <c r="O408" s="64">
        <f t="shared" si="12"/>
        <v>16514.402081310087</v>
      </c>
      <c r="P408" s="64">
        <f t="shared" si="13"/>
        <v>36.2953891896925</v>
      </c>
    </row>
    <row r="409" spans="1:16" ht="15">
      <c r="A409" s="3" t="s">
        <v>186</v>
      </c>
      <c r="B409" s="3" t="s">
        <v>187</v>
      </c>
      <c r="C409" s="61" t="s">
        <v>3275</v>
      </c>
      <c r="D409" s="3" t="s">
        <v>1684</v>
      </c>
      <c r="E409" s="3">
        <v>1</v>
      </c>
      <c r="F409" s="3" t="s">
        <v>3266</v>
      </c>
      <c r="G409" s="9">
        <v>748.16779299999996</v>
      </c>
      <c r="H409" s="66">
        <v>22070.949893499997</v>
      </c>
      <c r="I409" s="9">
        <v>811.15113635990099</v>
      </c>
      <c r="J409" s="10">
        <v>1.0841834464797673</v>
      </c>
      <c r="K409" s="66">
        <v>3326.4834771453197</v>
      </c>
      <c r="L409" s="69">
        <v>25397.433370645318</v>
      </c>
      <c r="M409" s="64">
        <v>0</v>
      </c>
      <c r="N409" s="67">
        <v>0</v>
      </c>
      <c r="O409" s="64">
        <f t="shared" si="12"/>
        <v>25397.433370645318</v>
      </c>
      <c r="P409" s="64">
        <f t="shared" si="13"/>
        <v>33.946173048704487</v>
      </c>
    </row>
    <row r="410" spans="1:16" ht="15">
      <c r="A410" s="3" t="s">
        <v>1716</v>
      </c>
      <c r="B410" s="3" t="s">
        <v>1717</v>
      </c>
      <c r="C410" s="61" t="s">
        <v>3275</v>
      </c>
      <c r="D410" s="3" t="s">
        <v>1684</v>
      </c>
      <c r="E410" s="3">
        <v>1</v>
      </c>
      <c r="F410" s="3" t="s">
        <v>3266</v>
      </c>
      <c r="G410" s="9">
        <v>312.66680400000001</v>
      </c>
      <c r="H410" s="66">
        <v>9223.6707180000012</v>
      </c>
      <c r="I410" s="9">
        <v>414.994546849708</v>
      </c>
      <c r="J410" s="10">
        <v>1.3272740871132196</v>
      </c>
      <c r="K410" s="66">
        <v>5404.4693038610976</v>
      </c>
      <c r="L410" s="69">
        <v>14628.140021861098</v>
      </c>
      <c r="M410" s="64">
        <v>0</v>
      </c>
      <c r="N410" s="67">
        <v>0</v>
      </c>
      <c r="O410" s="64">
        <f t="shared" si="12"/>
        <v>14628.140021861098</v>
      </c>
      <c r="P410" s="64">
        <f t="shared" si="13"/>
        <v>46.78507546922409</v>
      </c>
    </row>
    <row r="411" spans="1:16" ht="15">
      <c r="A411" s="3" t="s">
        <v>268</v>
      </c>
      <c r="B411" s="3" t="s">
        <v>269</v>
      </c>
      <c r="C411" s="61" t="s">
        <v>3275</v>
      </c>
      <c r="D411" s="3" t="s">
        <v>1684</v>
      </c>
      <c r="E411" s="3">
        <v>1</v>
      </c>
      <c r="F411" s="3" t="s">
        <v>3266</v>
      </c>
      <c r="G411" s="9">
        <v>707.76686800000004</v>
      </c>
      <c r="H411" s="66">
        <v>20879.122606000001</v>
      </c>
      <c r="I411" s="9">
        <v>788.66934461949995</v>
      </c>
      <c r="J411" s="10">
        <v>1.1143066739590584</v>
      </c>
      <c r="K411" s="66">
        <v>4272.8876775735034</v>
      </c>
      <c r="L411" s="69">
        <v>25152.010283573505</v>
      </c>
      <c r="M411" s="64">
        <v>0</v>
      </c>
      <c r="N411" s="67">
        <v>0</v>
      </c>
      <c r="O411" s="64">
        <f t="shared" si="12"/>
        <v>25152.010283573505</v>
      </c>
      <c r="P411" s="64">
        <f t="shared" si="13"/>
        <v>35.537140011438773</v>
      </c>
    </row>
    <row r="412" spans="1:16" ht="15">
      <c r="A412" s="3" t="s">
        <v>823</v>
      </c>
      <c r="B412" s="3" t="s">
        <v>824</v>
      </c>
      <c r="C412" s="61" t="s">
        <v>3275</v>
      </c>
      <c r="D412" s="3" t="s">
        <v>3248</v>
      </c>
      <c r="E412" s="3">
        <v>1</v>
      </c>
      <c r="F412" s="3" t="s">
        <v>1909</v>
      </c>
      <c r="G412" s="9">
        <v>1646.8681750000001</v>
      </c>
      <c r="H412" s="66">
        <v>48582.611162500005</v>
      </c>
      <c r="I412" s="9">
        <v>2422.1880325816101</v>
      </c>
      <c r="J412" s="10">
        <v>1.4707844072471739</v>
      </c>
      <c r="K412" s="66">
        <v>40948.74228905877</v>
      </c>
      <c r="L412" s="69">
        <v>89531.353451558767</v>
      </c>
      <c r="M412" s="64">
        <v>887774.3942013873</v>
      </c>
      <c r="N412" s="67">
        <v>17794.817782833194</v>
      </c>
      <c r="O412" s="64">
        <f t="shared" si="12"/>
        <v>107326.17123439196</v>
      </c>
      <c r="P412" s="64">
        <f t="shared" si="13"/>
        <v>65.169861719133621</v>
      </c>
    </row>
    <row r="413" spans="1:16" ht="15">
      <c r="A413" s="3" t="s">
        <v>348</v>
      </c>
      <c r="B413" s="3" t="s">
        <v>349</v>
      </c>
      <c r="C413" s="61" t="s">
        <v>3275</v>
      </c>
      <c r="D413" s="3" t="s">
        <v>1684</v>
      </c>
      <c r="E413" s="3">
        <v>1</v>
      </c>
      <c r="F413" s="3" t="s">
        <v>3266</v>
      </c>
      <c r="G413" s="9">
        <v>206.834146</v>
      </c>
      <c r="H413" s="66">
        <v>6101.6073070000002</v>
      </c>
      <c r="I413" s="9">
        <v>272.15034320105201</v>
      </c>
      <c r="J413" s="10">
        <v>1.3157902042008673</v>
      </c>
      <c r="K413" s="66">
        <v>3449.6938267903079</v>
      </c>
      <c r="L413" s="69">
        <v>9551.3011337903081</v>
      </c>
      <c r="M413" s="64">
        <v>0</v>
      </c>
      <c r="N413" s="67">
        <v>0</v>
      </c>
      <c r="O413" s="64">
        <f t="shared" si="12"/>
        <v>9551.3011337903081</v>
      </c>
      <c r="P413" s="64">
        <f t="shared" si="13"/>
        <v>46.17855087520369</v>
      </c>
    </row>
    <row r="414" spans="1:16" ht="15">
      <c r="A414" s="3" t="s">
        <v>314</v>
      </c>
      <c r="B414" s="3" t="s">
        <v>315</v>
      </c>
      <c r="C414" s="61" t="s">
        <v>3275</v>
      </c>
      <c r="D414" s="3" t="s">
        <v>1684</v>
      </c>
      <c r="E414" s="3">
        <v>1</v>
      </c>
      <c r="F414" s="3" t="s">
        <v>3266</v>
      </c>
      <c r="G414" s="9">
        <v>216.44970499999999</v>
      </c>
      <c r="H414" s="66">
        <v>6385.2662975000003</v>
      </c>
      <c r="I414" s="9">
        <v>334.30144979139902</v>
      </c>
      <c r="J414" s="10">
        <v>1.544476347479425</v>
      </c>
      <c r="K414" s="66">
        <v>6224.3739517157301</v>
      </c>
      <c r="L414" s="69">
        <v>12609.64024921573</v>
      </c>
      <c r="M414" s="64">
        <v>0</v>
      </c>
      <c r="N414" s="67">
        <v>0</v>
      </c>
      <c r="O414" s="64">
        <f t="shared" si="12"/>
        <v>12609.64024921573</v>
      </c>
      <c r="P414" s="64">
        <f t="shared" si="13"/>
        <v>58.256675606075468</v>
      </c>
    </row>
    <row r="415" spans="1:16" ht="15">
      <c r="A415" s="3" t="s">
        <v>423</v>
      </c>
      <c r="B415" s="3" t="s">
        <v>424</v>
      </c>
      <c r="C415" s="61" t="s">
        <v>3275</v>
      </c>
      <c r="D415" s="3" t="s">
        <v>1684</v>
      </c>
      <c r="E415" s="3">
        <v>1</v>
      </c>
      <c r="F415" s="3" t="s">
        <v>3266</v>
      </c>
      <c r="G415" s="9">
        <v>122.800003</v>
      </c>
      <c r="H415" s="66">
        <v>3622.6000885000003</v>
      </c>
      <c r="I415" s="9">
        <v>170.98236770581201</v>
      </c>
      <c r="J415" s="10">
        <v>1.3923645238494986</v>
      </c>
      <c r="K415" s="66">
        <v>2544.7655131263791</v>
      </c>
      <c r="L415" s="69">
        <v>6167.3656016263794</v>
      </c>
      <c r="M415" s="64">
        <v>0</v>
      </c>
      <c r="N415" s="67">
        <v>0</v>
      </c>
      <c r="O415" s="64">
        <f t="shared" si="12"/>
        <v>6167.3656016263794</v>
      </c>
      <c r="P415" s="64">
        <f t="shared" si="13"/>
        <v>50.222845691839105</v>
      </c>
    </row>
    <row r="416" spans="1:16" ht="15">
      <c r="A416" s="3" t="s">
        <v>834</v>
      </c>
      <c r="B416" s="3" t="s">
        <v>835</v>
      </c>
      <c r="C416" s="61" t="s">
        <v>3275</v>
      </c>
      <c r="D416" s="3" t="s">
        <v>3248</v>
      </c>
      <c r="E416" s="3">
        <v>1</v>
      </c>
      <c r="F416" s="3" t="s">
        <v>1907</v>
      </c>
      <c r="G416" s="9">
        <v>3428.5633910000001</v>
      </c>
      <c r="H416" s="66">
        <v>101142.62003450001</v>
      </c>
      <c r="I416" s="9">
        <v>4101.88086327164</v>
      </c>
      <c r="J416" s="10">
        <v>1.1963847231289648</v>
      </c>
      <c r="K416" s="66">
        <v>35561.456837663529</v>
      </c>
      <c r="L416" s="69">
        <v>136704.07687216354</v>
      </c>
      <c r="M416" s="64">
        <v>1700296.3135659946</v>
      </c>
      <c r="N416" s="67">
        <v>34081.25225772884</v>
      </c>
      <c r="O416" s="64">
        <f t="shared" si="12"/>
        <v>170785.32912989237</v>
      </c>
      <c r="P416" s="64">
        <f t="shared" si="13"/>
        <v>49.812504437924325</v>
      </c>
    </row>
    <row r="417" spans="1:16" ht="15">
      <c r="A417" s="3" t="str">
        <f>"013209"</f>
        <v>013209</v>
      </c>
      <c r="B417" s="3" t="s">
        <v>2610</v>
      </c>
      <c r="C417" s="61" t="s">
        <v>3275</v>
      </c>
      <c r="D417" s="3" t="s">
        <v>3249</v>
      </c>
      <c r="E417" s="3">
        <v>1</v>
      </c>
      <c r="F417" s="3" t="s">
        <v>3220</v>
      </c>
      <c r="G417" s="9">
        <v>241</v>
      </c>
      <c r="H417" s="66">
        <v>7109.5</v>
      </c>
      <c r="I417" s="9">
        <v>241</v>
      </c>
      <c r="J417" s="10">
        <v>1</v>
      </c>
      <c r="K417" s="66">
        <v>0</v>
      </c>
      <c r="L417" s="69">
        <v>7109.5</v>
      </c>
      <c r="M417" s="64">
        <v>0</v>
      </c>
      <c r="N417" s="67">
        <v>0</v>
      </c>
      <c r="O417" s="64">
        <f t="shared" si="12"/>
        <v>7109.5</v>
      </c>
      <c r="P417" s="64">
        <f t="shared" si="13"/>
        <v>29.5</v>
      </c>
    </row>
    <row r="418" spans="1:16" ht="15">
      <c r="A418" s="3" t="s">
        <v>102</v>
      </c>
      <c r="B418" s="3" t="s">
        <v>1704</v>
      </c>
      <c r="C418" s="61" t="s">
        <v>3275</v>
      </c>
      <c r="D418" s="3" t="s">
        <v>1684</v>
      </c>
      <c r="E418" s="3">
        <v>1</v>
      </c>
      <c r="F418" s="3" t="s">
        <v>3266</v>
      </c>
      <c r="G418" s="9">
        <v>223.024843</v>
      </c>
      <c r="H418" s="66">
        <v>6579.2328685000002</v>
      </c>
      <c r="I418" s="9">
        <v>282.09603622986202</v>
      </c>
      <c r="J418" s="10">
        <v>1.2648637364128175</v>
      </c>
      <c r="K418" s="66">
        <v>3119.8621377012792</v>
      </c>
      <c r="L418" s="69">
        <v>9699.0950062012798</v>
      </c>
      <c r="M418" s="64">
        <v>0</v>
      </c>
      <c r="N418" s="67">
        <v>0</v>
      </c>
      <c r="O418" s="64">
        <f t="shared" si="12"/>
        <v>9699.0950062012798</v>
      </c>
      <c r="P418" s="64">
        <f t="shared" si="13"/>
        <v>43.488854764943291</v>
      </c>
    </row>
    <row r="419" spans="1:16" ht="15">
      <c r="A419" s="3" t="str">
        <f>"086678"</f>
        <v>086678</v>
      </c>
      <c r="B419" s="3" t="s">
        <v>2739</v>
      </c>
      <c r="C419" s="61" t="s">
        <v>3275</v>
      </c>
      <c r="D419" s="3" t="s">
        <v>3249</v>
      </c>
      <c r="E419" s="3">
        <v>1</v>
      </c>
      <c r="F419" s="3" t="s">
        <v>3220</v>
      </c>
      <c r="G419" s="9">
        <v>566</v>
      </c>
      <c r="H419" s="66">
        <v>16697</v>
      </c>
      <c r="I419" s="9">
        <v>616.13580000000002</v>
      </c>
      <c r="J419" s="10">
        <v>1.0885791519434629</v>
      </c>
      <c r="K419" s="66">
        <v>2647.9367625892332</v>
      </c>
      <c r="L419" s="69">
        <v>19344.936762589234</v>
      </c>
      <c r="M419" s="64">
        <v>0</v>
      </c>
      <c r="N419" s="67">
        <v>0</v>
      </c>
      <c r="O419" s="64">
        <f t="shared" si="12"/>
        <v>19344.936762589234</v>
      </c>
      <c r="P419" s="64">
        <f t="shared" si="13"/>
        <v>34.178333502807831</v>
      </c>
    </row>
    <row r="420" spans="1:16" ht="15">
      <c r="A420" s="3" t="str">
        <f>"017030"</f>
        <v>017030</v>
      </c>
      <c r="B420" s="3" t="s">
        <v>2739</v>
      </c>
      <c r="C420" s="61" t="s">
        <v>3275</v>
      </c>
      <c r="D420" s="3" t="s">
        <v>3249</v>
      </c>
      <c r="E420" s="3">
        <v>1</v>
      </c>
      <c r="F420" s="3" t="s">
        <v>3220</v>
      </c>
      <c r="G420" s="9">
        <v>111</v>
      </c>
      <c r="H420" s="66">
        <v>3274.5</v>
      </c>
      <c r="I420" s="9">
        <v>125.374</v>
      </c>
      <c r="J420" s="10">
        <v>1.1294954954954954</v>
      </c>
      <c r="K420" s="66">
        <v>759.16696303754213</v>
      </c>
      <c r="L420" s="69">
        <v>4033.6669630375422</v>
      </c>
      <c r="M420" s="64">
        <v>0</v>
      </c>
      <c r="N420" s="67">
        <v>0</v>
      </c>
      <c r="O420" s="64">
        <f t="shared" si="12"/>
        <v>4033.6669630375422</v>
      </c>
      <c r="P420" s="64">
        <f t="shared" si="13"/>
        <v>36.339342009347227</v>
      </c>
    </row>
    <row r="421" spans="1:16" ht="15">
      <c r="A421" s="3" t="str">
        <f>"017161"</f>
        <v>017161</v>
      </c>
      <c r="B421" s="3" t="s">
        <v>2662</v>
      </c>
      <c r="C421" s="61" t="s">
        <v>3275</v>
      </c>
      <c r="D421" s="3" t="s">
        <v>3249</v>
      </c>
      <c r="E421" s="3">
        <v>1</v>
      </c>
      <c r="F421" s="3" t="s">
        <v>3220</v>
      </c>
      <c r="G421" s="9">
        <v>7</v>
      </c>
      <c r="H421" s="66">
        <v>206.5</v>
      </c>
      <c r="I421" s="9">
        <v>8.4748000000000001</v>
      </c>
      <c r="J421" s="10">
        <v>1.2106857142857144</v>
      </c>
      <c r="K421" s="66">
        <v>77.891988109626254</v>
      </c>
      <c r="L421" s="69">
        <v>284.39198810962625</v>
      </c>
      <c r="M421" s="64">
        <v>0</v>
      </c>
      <c r="N421" s="67">
        <v>0</v>
      </c>
      <c r="O421" s="64">
        <f t="shared" si="12"/>
        <v>284.39198810962625</v>
      </c>
      <c r="P421" s="64">
        <f t="shared" si="13"/>
        <v>40.627426872803753</v>
      </c>
    </row>
    <row r="422" spans="1:16" ht="15">
      <c r="A422" s="3" t="s">
        <v>1091</v>
      </c>
      <c r="B422" s="3" t="s">
        <v>1092</v>
      </c>
      <c r="C422" s="61" t="s">
        <v>3325</v>
      </c>
      <c r="D422" s="3" t="s">
        <v>3248</v>
      </c>
      <c r="E422" s="3">
        <v>1</v>
      </c>
      <c r="F422" s="3" t="s">
        <v>3223</v>
      </c>
      <c r="G422" s="9">
        <v>782.46852699999999</v>
      </c>
      <c r="H422" s="66">
        <v>23082.821546499999</v>
      </c>
      <c r="I422" s="9">
        <v>877.36209619500403</v>
      </c>
      <c r="J422" s="10">
        <v>1.1212746147871633</v>
      </c>
      <c r="K422" s="66">
        <v>5011.83127435398</v>
      </c>
      <c r="L422" s="69">
        <v>28094.652820853978</v>
      </c>
      <c r="M422" s="64">
        <v>843410.16779731901</v>
      </c>
      <c r="N422" s="67">
        <v>16905.567844906207</v>
      </c>
      <c r="O422" s="64">
        <f t="shared" si="12"/>
        <v>45000.220665760186</v>
      </c>
      <c r="P422" s="64">
        <f t="shared" si="13"/>
        <v>57.510582359512824</v>
      </c>
    </row>
    <row r="423" spans="1:16" ht="15">
      <c r="A423" s="3" t="s">
        <v>1093</v>
      </c>
      <c r="B423" s="3" t="s">
        <v>1863</v>
      </c>
      <c r="C423" s="61" t="s">
        <v>3325</v>
      </c>
      <c r="D423" s="3" t="s">
        <v>3248</v>
      </c>
      <c r="E423" s="3">
        <v>1</v>
      </c>
      <c r="F423" s="3" t="s">
        <v>3224</v>
      </c>
      <c r="G423" s="9">
        <v>1115.28404</v>
      </c>
      <c r="H423" s="66">
        <v>32900.879180000004</v>
      </c>
      <c r="I423" s="9">
        <v>1220.16439258015</v>
      </c>
      <c r="J423" s="10">
        <v>1.0940391405405119</v>
      </c>
      <c r="K423" s="66">
        <v>5539.2861242924128</v>
      </c>
      <c r="L423" s="69">
        <v>38440.165304292415</v>
      </c>
      <c r="M423" s="64">
        <v>822438.23693425593</v>
      </c>
      <c r="N423" s="67">
        <v>16485.200135835148</v>
      </c>
      <c r="O423" s="64">
        <f t="shared" si="12"/>
        <v>54925.365440127563</v>
      </c>
      <c r="P423" s="64">
        <f t="shared" si="13"/>
        <v>49.247871815800004</v>
      </c>
    </row>
    <row r="424" spans="1:16" ht="15">
      <c r="A424" s="3" t="str">
        <f>"123109"</f>
        <v>123109</v>
      </c>
      <c r="B424" s="3" t="s">
        <v>3060</v>
      </c>
      <c r="C424" s="61" t="s">
        <v>3325</v>
      </c>
      <c r="D424" s="3" t="s">
        <v>3249</v>
      </c>
      <c r="E424" s="3">
        <v>1</v>
      </c>
      <c r="F424" s="3" t="s">
        <v>3220</v>
      </c>
      <c r="G424" s="9">
        <v>122</v>
      </c>
      <c r="H424" s="66">
        <v>3599</v>
      </c>
      <c r="I424" s="9">
        <v>122</v>
      </c>
      <c r="J424" s="10">
        <v>1</v>
      </c>
      <c r="K424" s="66">
        <v>0</v>
      </c>
      <c r="L424" s="69">
        <v>3599</v>
      </c>
      <c r="M424" s="64">
        <v>0</v>
      </c>
      <c r="N424" s="67">
        <v>0</v>
      </c>
      <c r="O424" s="64">
        <f t="shared" si="12"/>
        <v>3599</v>
      </c>
      <c r="P424" s="64">
        <f t="shared" si="13"/>
        <v>29.5</v>
      </c>
    </row>
    <row r="425" spans="1:16" ht="15">
      <c r="A425" s="3" t="s">
        <v>1094</v>
      </c>
      <c r="B425" s="3" t="s">
        <v>1095</v>
      </c>
      <c r="C425" s="61" t="s">
        <v>3325</v>
      </c>
      <c r="D425" s="3" t="s">
        <v>3248</v>
      </c>
      <c r="E425" s="3">
        <v>1</v>
      </c>
      <c r="F425" s="3" t="s">
        <v>3224</v>
      </c>
      <c r="G425" s="9">
        <v>585.19907899999998</v>
      </c>
      <c r="H425" s="66">
        <v>17263.3728305</v>
      </c>
      <c r="I425" s="9">
        <v>631.45115160078899</v>
      </c>
      <c r="J425" s="10">
        <v>1.0790364753817205</v>
      </c>
      <c r="K425" s="66">
        <v>2442.8165778859689</v>
      </c>
      <c r="L425" s="69">
        <v>19706.18940838597</v>
      </c>
      <c r="M425" s="64">
        <v>811083.68963650556</v>
      </c>
      <c r="N425" s="67">
        <v>16257.606164337707</v>
      </c>
      <c r="O425" s="64">
        <f t="shared" si="12"/>
        <v>35963.795572723677</v>
      </c>
      <c r="P425" s="64">
        <f t="shared" si="13"/>
        <v>61.455659899840136</v>
      </c>
    </row>
    <row r="426" spans="1:16" ht="15">
      <c r="A426" s="3" t="s">
        <v>653</v>
      </c>
      <c r="B426" s="3" t="s">
        <v>1856</v>
      </c>
      <c r="C426" s="61" t="s">
        <v>3325</v>
      </c>
      <c r="D426" s="3" t="s">
        <v>3248</v>
      </c>
      <c r="E426" s="3">
        <v>1</v>
      </c>
      <c r="F426" s="3" t="s">
        <v>1905</v>
      </c>
      <c r="G426" s="9">
        <v>2502.6083490000001</v>
      </c>
      <c r="H426" s="66">
        <v>73826.946295500005</v>
      </c>
      <c r="I426" s="9">
        <v>3034.6315515353899</v>
      </c>
      <c r="J426" s="10">
        <v>1.2125874800777265</v>
      </c>
      <c r="K426" s="66">
        <v>28098.959157805708</v>
      </c>
      <c r="L426" s="69">
        <v>101925.90545330572</v>
      </c>
      <c r="M426" s="64">
        <v>1552911.2224454607</v>
      </c>
      <c r="N426" s="67">
        <v>31127.021027895436</v>
      </c>
      <c r="O426" s="64">
        <f t="shared" si="12"/>
        <v>133052.92648120117</v>
      </c>
      <c r="P426" s="64">
        <f t="shared" si="13"/>
        <v>53.165700711566338</v>
      </c>
    </row>
    <row r="427" spans="1:16" ht="15">
      <c r="A427" s="3" t="s">
        <v>1096</v>
      </c>
      <c r="B427" s="3" t="s">
        <v>1097</v>
      </c>
      <c r="C427" s="61" t="s">
        <v>3325</v>
      </c>
      <c r="D427" s="3" t="s">
        <v>3248</v>
      </c>
      <c r="E427" s="3">
        <v>1</v>
      </c>
      <c r="F427" s="3" t="s">
        <v>3223</v>
      </c>
      <c r="G427" s="9">
        <v>634.88554699999997</v>
      </c>
      <c r="H427" s="66">
        <v>18729.1236365</v>
      </c>
      <c r="I427" s="9">
        <v>789.79615961162995</v>
      </c>
      <c r="J427" s="10">
        <v>1.2439976990240573</v>
      </c>
      <c r="K427" s="66">
        <v>8181.6487629509083</v>
      </c>
      <c r="L427" s="69">
        <v>26910.772399450907</v>
      </c>
      <c r="M427" s="64">
        <v>689276.43734132417</v>
      </c>
      <c r="N427" s="67">
        <v>13816.06485229053</v>
      </c>
      <c r="O427" s="64">
        <f t="shared" si="12"/>
        <v>40726.837251741439</v>
      </c>
      <c r="P427" s="64">
        <f t="shared" si="13"/>
        <v>64.148313730224885</v>
      </c>
    </row>
    <row r="428" spans="1:16" ht="15">
      <c r="A428" s="3" t="str">
        <f>"055335"</f>
        <v>055335</v>
      </c>
      <c r="B428" s="3" t="s">
        <v>2689</v>
      </c>
      <c r="C428" s="61" t="s">
        <v>3325</v>
      </c>
      <c r="D428" s="3" t="s">
        <v>3249</v>
      </c>
      <c r="E428" s="3">
        <v>1</v>
      </c>
      <c r="F428" s="3" t="s">
        <v>3220</v>
      </c>
      <c r="G428" s="9">
        <v>81</v>
      </c>
      <c r="H428" s="66">
        <v>2389.5</v>
      </c>
      <c r="I428" s="9">
        <v>86.686999999999998</v>
      </c>
      <c r="J428" s="10">
        <v>1.0702098765432098</v>
      </c>
      <c r="K428" s="66">
        <v>300.36054812818298</v>
      </c>
      <c r="L428" s="69">
        <v>2689.8605481281829</v>
      </c>
      <c r="M428" s="64">
        <v>0</v>
      </c>
      <c r="N428" s="67">
        <v>0</v>
      </c>
      <c r="O428" s="64">
        <f t="shared" si="12"/>
        <v>2689.8605481281829</v>
      </c>
      <c r="P428" s="64">
        <f t="shared" si="13"/>
        <v>33.208154915162751</v>
      </c>
    </row>
    <row r="429" spans="1:16" ht="15">
      <c r="A429" s="3" t="s">
        <v>1098</v>
      </c>
      <c r="B429" s="3" t="s">
        <v>1099</v>
      </c>
      <c r="C429" s="61" t="s">
        <v>3325</v>
      </c>
      <c r="D429" s="3" t="s">
        <v>3248</v>
      </c>
      <c r="E429" s="3">
        <v>1</v>
      </c>
      <c r="F429" s="3" t="s">
        <v>3224</v>
      </c>
      <c r="G429" s="9">
        <v>814.82382500000006</v>
      </c>
      <c r="H429" s="66">
        <v>24037.302837500003</v>
      </c>
      <c r="I429" s="9">
        <v>930.16938062585405</v>
      </c>
      <c r="J429" s="10">
        <v>1.1415588892799666</v>
      </c>
      <c r="K429" s="66">
        <v>6092.0088468316044</v>
      </c>
      <c r="L429" s="69">
        <v>30129.311684331609</v>
      </c>
      <c r="M429" s="64">
        <v>686924.04608590412</v>
      </c>
      <c r="N429" s="67">
        <v>13768.912812293041</v>
      </c>
      <c r="O429" s="64">
        <f t="shared" si="12"/>
        <v>43898.224496624651</v>
      </c>
      <c r="P429" s="64">
        <f t="shared" si="13"/>
        <v>53.874497958653393</v>
      </c>
    </row>
    <row r="430" spans="1:16" ht="15">
      <c r="A430" s="3" t="s">
        <v>946</v>
      </c>
      <c r="B430" s="3" t="s">
        <v>947</v>
      </c>
      <c r="C430" s="61" t="s">
        <v>3325</v>
      </c>
      <c r="D430" s="3" t="s">
        <v>3248</v>
      </c>
      <c r="E430" s="3">
        <v>1</v>
      </c>
      <c r="F430" s="3" t="s">
        <v>3224</v>
      </c>
      <c r="G430" s="9">
        <v>1307.9749059999999</v>
      </c>
      <c r="H430" s="66">
        <v>38585.259726999997</v>
      </c>
      <c r="I430" s="9">
        <v>1437.7460169707899</v>
      </c>
      <c r="J430" s="10">
        <v>1.0992152910392228</v>
      </c>
      <c r="K430" s="66">
        <v>6853.8987203076776</v>
      </c>
      <c r="L430" s="69">
        <v>45439.158447307673</v>
      </c>
      <c r="M430" s="64">
        <v>765247.61901719111</v>
      </c>
      <c r="N430" s="67">
        <v>15338.854136931575</v>
      </c>
      <c r="O430" s="64">
        <f t="shared" si="12"/>
        <v>60778.012584239244</v>
      </c>
      <c r="P430" s="64">
        <f t="shared" si="13"/>
        <v>46.467261952378195</v>
      </c>
    </row>
    <row r="431" spans="1:16" ht="15">
      <c r="A431" s="3" t="s">
        <v>1100</v>
      </c>
      <c r="B431" s="3" t="s">
        <v>1864</v>
      </c>
      <c r="C431" s="61" t="s">
        <v>3327</v>
      </c>
      <c r="D431" s="3" t="s">
        <v>3248</v>
      </c>
      <c r="E431" s="3">
        <v>1</v>
      </c>
      <c r="F431" s="3" t="s">
        <v>1904</v>
      </c>
      <c r="G431" s="9">
        <v>735.92605500000002</v>
      </c>
      <c r="H431" s="66">
        <v>21709.818622499999</v>
      </c>
      <c r="I431" s="9">
        <v>790.97474531670605</v>
      </c>
      <c r="J431" s="10">
        <v>1.0748019314477268</v>
      </c>
      <c r="K431" s="66">
        <v>2907.4124841330099</v>
      </c>
      <c r="L431" s="69">
        <v>24617.231106633008</v>
      </c>
      <c r="M431" s="64">
        <v>362728.59996620391</v>
      </c>
      <c r="N431" s="67">
        <v>7270.6414863735954</v>
      </c>
      <c r="O431" s="64">
        <f t="shared" si="12"/>
        <v>31887.872593006603</v>
      </c>
      <c r="P431" s="64">
        <f t="shared" si="13"/>
        <v>43.330267186975192</v>
      </c>
    </row>
    <row r="432" spans="1:16" ht="15">
      <c r="A432" s="3" t="s">
        <v>1101</v>
      </c>
      <c r="B432" s="3" t="s">
        <v>1865</v>
      </c>
      <c r="C432" s="61" t="s">
        <v>3327</v>
      </c>
      <c r="D432" s="3" t="s">
        <v>3248</v>
      </c>
      <c r="E432" s="3">
        <v>1</v>
      </c>
      <c r="F432" s="3" t="s">
        <v>3224</v>
      </c>
      <c r="G432" s="9">
        <v>950.55021899999997</v>
      </c>
      <c r="H432" s="66">
        <v>28041.231460499999</v>
      </c>
      <c r="I432" s="9">
        <v>1137.6533299804501</v>
      </c>
      <c r="J432" s="10">
        <v>1.1968366397067234</v>
      </c>
      <c r="K432" s="66">
        <v>9881.9048655840088</v>
      </c>
      <c r="L432" s="69">
        <v>37923.136326084008</v>
      </c>
      <c r="M432" s="64">
        <v>1123034.6007055533</v>
      </c>
      <c r="N432" s="67">
        <v>22510.444335747354</v>
      </c>
      <c r="O432" s="64">
        <f t="shared" si="12"/>
        <v>60433.580661831365</v>
      </c>
      <c r="P432" s="64">
        <f t="shared" si="13"/>
        <v>63.577472766677012</v>
      </c>
    </row>
    <row r="433" spans="1:16" ht="15">
      <c r="A433" s="3" t="s">
        <v>614</v>
      </c>
      <c r="B433" s="3" t="s">
        <v>615</v>
      </c>
      <c r="C433" s="61" t="s">
        <v>3327</v>
      </c>
      <c r="D433" s="3" t="s">
        <v>3248</v>
      </c>
      <c r="E433" s="3">
        <v>1</v>
      </c>
      <c r="F433" s="3" t="s">
        <v>1905</v>
      </c>
      <c r="G433" s="9">
        <v>2414.383429</v>
      </c>
      <c r="H433" s="66">
        <v>71224.311155499992</v>
      </c>
      <c r="I433" s="9">
        <v>2933.6477475059401</v>
      </c>
      <c r="J433" s="10">
        <v>1.2150711905444991</v>
      </c>
      <c r="K433" s="66">
        <v>27425.095011403486</v>
      </c>
      <c r="L433" s="69">
        <v>98649.406166903471</v>
      </c>
      <c r="M433" s="64">
        <v>1850447.8651558661</v>
      </c>
      <c r="N433" s="67">
        <v>37090.935255800679</v>
      </c>
      <c r="O433" s="64">
        <f t="shared" si="12"/>
        <v>135740.34142270416</v>
      </c>
      <c r="P433" s="64">
        <f t="shared" si="13"/>
        <v>56.221534571634173</v>
      </c>
    </row>
    <row r="434" spans="1:16" ht="15">
      <c r="A434" s="19">
        <v>65946</v>
      </c>
      <c r="B434" s="20" t="s">
        <v>1951</v>
      </c>
      <c r="C434" s="61" t="s">
        <v>3327</v>
      </c>
      <c r="D434" s="19" t="s">
        <v>1973</v>
      </c>
      <c r="E434" s="19">
        <v>1</v>
      </c>
      <c r="F434" s="19" t="s">
        <v>1974</v>
      </c>
      <c r="G434" s="9">
        <v>35.590000000000003</v>
      </c>
      <c r="H434" s="66">
        <v>1049.9050000000002</v>
      </c>
      <c r="I434" s="9">
        <v>177.47783500000003</v>
      </c>
      <c r="J434" s="10">
        <v>4.9867332115762855</v>
      </c>
      <c r="K434" s="66">
        <v>7493.8470007598398</v>
      </c>
      <c r="L434" s="69">
        <v>8543.7520007598396</v>
      </c>
      <c r="M434" s="64">
        <v>0</v>
      </c>
      <c r="N434" s="67">
        <v>0</v>
      </c>
      <c r="O434" s="64">
        <f t="shared" si="12"/>
        <v>8543.7520007598396</v>
      </c>
      <c r="P434" s="64">
        <f t="shared" si="13"/>
        <v>240.06046644450237</v>
      </c>
    </row>
    <row r="435" spans="1:16" ht="15">
      <c r="A435" s="3" t="s">
        <v>902</v>
      </c>
      <c r="B435" s="3" t="s">
        <v>903</v>
      </c>
      <c r="C435" s="61" t="s">
        <v>3327</v>
      </c>
      <c r="D435" s="3" t="s">
        <v>3248</v>
      </c>
      <c r="E435" s="3">
        <v>1</v>
      </c>
      <c r="F435" s="3" t="s">
        <v>3223</v>
      </c>
      <c r="G435" s="9">
        <v>902.18143199999997</v>
      </c>
      <c r="H435" s="66">
        <v>26614.352243999998</v>
      </c>
      <c r="I435" s="9">
        <v>1096.27453901123</v>
      </c>
      <c r="J435" s="10">
        <v>1.2151375545171164</v>
      </c>
      <c r="K435" s="66">
        <v>10251.083525548645</v>
      </c>
      <c r="L435" s="69">
        <v>36865.43576954864</v>
      </c>
      <c r="M435" s="64">
        <v>425094.74832624488</v>
      </c>
      <c r="N435" s="67">
        <v>8520.7273788400071</v>
      </c>
      <c r="O435" s="64">
        <f t="shared" si="12"/>
        <v>45386.163148388645</v>
      </c>
      <c r="P435" s="64">
        <f t="shared" si="13"/>
        <v>50.307135060155666</v>
      </c>
    </row>
    <row r="436" spans="1:16" ht="15">
      <c r="A436" s="3" t="str">
        <f>"059022"</f>
        <v>059022</v>
      </c>
      <c r="B436" s="3" t="s">
        <v>2690</v>
      </c>
      <c r="C436" s="61" t="s">
        <v>3327</v>
      </c>
      <c r="D436" s="3" t="s">
        <v>3249</v>
      </c>
      <c r="E436" s="3">
        <v>1</v>
      </c>
      <c r="F436" s="3" t="s">
        <v>3220</v>
      </c>
      <c r="G436" s="9">
        <v>70</v>
      </c>
      <c r="H436" s="66">
        <v>2065</v>
      </c>
      <c r="I436" s="9">
        <v>75.186999999999998</v>
      </c>
      <c r="J436" s="10">
        <v>1.0741000000000001</v>
      </c>
      <c r="K436" s="66">
        <v>273.9529036646536</v>
      </c>
      <c r="L436" s="69">
        <v>2338.9529036646536</v>
      </c>
      <c r="M436" s="64">
        <v>0</v>
      </c>
      <c r="N436" s="67">
        <v>0</v>
      </c>
      <c r="O436" s="64">
        <f t="shared" si="12"/>
        <v>2338.9529036646536</v>
      </c>
      <c r="P436" s="64">
        <f t="shared" si="13"/>
        <v>33.41361290949505</v>
      </c>
    </row>
    <row r="437" spans="1:16" ht="15">
      <c r="A437" s="3" t="s">
        <v>1102</v>
      </c>
      <c r="B437" s="3" t="s">
        <v>1035</v>
      </c>
      <c r="C437" s="61" t="s">
        <v>3327</v>
      </c>
      <c r="D437" s="3" t="s">
        <v>3248</v>
      </c>
      <c r="E437" s="3">
        <v>1</v>
      </c>
      <c r="F437" s="3" t="s">
        <v>1904</v>
      </c>
      <c r="G437" s="9">
        <v>1070.5980030000001</v>
      </c>
      <c r="H437" s="66">
        <v>31582.6410885</v>
      </c>
      <c r="I437" s="9">
        <v>1213.7062211390401</v>
      </c>
      <c r="J437" s="10">
        <v>1.1336712918742853</v>
      </c>
      <c r="K437" s="66">
        <v>7558.3018888499473</v>
      </c>
      <c r="L437" s="69">
        <v>39140.942977349951</v>
      </c>
      <c r="M437" s="64">
        <v>991520.04574445111</v>
      </c>
      <c r="N437" s="67">
        <v>19874.326920547002</v>
      </c>
      <c r="O437" s="64">
        <f t="shared" si="12"/>
        <v>59015.269897896957</v>
      </c>
      <c r="P437" s="64">
        <f t="shared" si="13"/>
        <v>55.12365027071413</v>
      </c>
    </row>
    <row r="438" spans="1:16" ht="15">
      <c r="A438" s="3" t="str">
        <f>"060392"</f>
        <v>060392</v>
      </c>
      <c r="B438" s="3" t="s">
        <v>2619</v>
      </c>
      <c r="C438" s="61" t="s">
        <v>3327</v>
      </c>
      <c r="D438" s="3" t="s">
        <v>3249</v>
      </c>
      <c r="E438" s="3">
        <v>1</v>
      </c>
      <c r="F438" s="3" t="s">
        <v>3220</v>
      </c>
      <c r="G438" s="9">
        <v>81</v>
      </c>
      <c r="H438" s="66">
        <v>2389.5</v>
      </c>
      <c r="I438" s="9">
        <v>90.636600000000001</v>
      </c>
      <c r="J438" s="10">
        <v>1.1189703703703704</v>
      </c>
      <c r="K438" s="66">
        <v>508.95981327449442</v>
      </c>
      <c r="L438" s="69">
        <v>2898.4598132744945</v>
      </c>
      <c r="M438" s="64">
        <v>0</v>
      </c>
      <c r="N438" s="67">
        <v>0</v>
      </c>
      <c r="O438" s="64">
        <f t="shared" si="12"/>
        <v>2898.4598132744945</v>
      </c>
      <c r="P438" s="64">
        <f t="shared" si="13"/>
        <v>35.783454484870305</v>
      </c>
    </row>
    <row r="439" spans="1:16" ht="15">
      <c r="A439" s="3" t="str">
        <f>"133116"</f>
        <v>133116</v>
      </c>
      <c r="B439" s="3" t="s">
        <v>2654</v>
      </c>
      <c r="C439" s="61" t="s">
        <v>3279</v>
      </c>
      <c r="D439" s="3" t="s">
        <v>3249</v>
      </c>
      <c r="E439" s="3">
        <v>1</v>
      </c>
      <c r="F439" s="3" t="s">
        <v>3220</v>
      </c>
      <c r="G439" s="9">
        <v>53</v>
      </c>
      <c r="H439" s="66">
        <v>1563.5</v>
      </c>
      <c r="I439" s="9">
        <v>54.474800000000002</v>
      </c>
      <c r="J439" s="10">
        <v>1.0278264150943397</v>
      </c>
      <c r="K439" s="66">
        <v>77.891988109626354</v>
      </c>
      <c r="L439" s="69">
        <v>1641.3919881096263</v>
      </c>
      <c r="M439" s="64">
        <v>0</v>
      </c>
      <c r="N439" s="67">
        <v>0</v>
      </c>
      <c r="O439" s="64">
        <f t="shared" si="12"/>
        <v>1641.3919881096263</v>
      </c>
      <c r="P439" s="64">
        <f t="shared" si="13"/>
        <v>30.969660153011816</v>
      </c>
    </row>
    <row r="440" spans="1:16" ht="15">
      <c r="A440" s="3" t="s">
        <v>1103</v>
      </c>
      <c r="B440" s="3" t="s">
        <v>1104</v>
      </c>
      <c r="C440" s="61" t="s">
        <v>3279</v>
      </c>
      <c r="D440" s="3" t="s">
        <v>3248</v>
      </c>
      <c r="E440" s="3">
        <v>1</v>
      </c>
      <c r="F440" s="3" t="s">
        <v>1906</v>
      </c>
      <c r="G440" s="9">
        <v>3710.4856479999999</v>
      </c>
      <c r="H440" s="66">
        <v>109459.32661599999</v>
      </c>
      <c r="I440" s="9">
        <v>4232.6058146359101</v>
      </c>
      <c r="J440" s="10">
        <v>1.1407147786482721</v>
      </c>
      <c r="K440" s="66">
        <v>27575.927455519657</v>
      </c>
      <c r="L440" s="69">
        <v>137035.25407151965</v>
      </c>
      <c r="M440" s="64">
        <v>3201401.075807333</v>
      </c>
      <c r="N440" s="67">
        <v>64169.848968221813</v>
      </c>
      <c r="O440" s="64">
        <f t="shared" si="12"/>
        <v>201205.10303974146</v>
      </c>
      <c r="P440" s="64">
        <f t="shared" si="13"/>
        <v>54.226083086507458</v>
      </c>
    </row>
    <row r="441" spans="1:16" ht="15">
      <c r="A441" s="3" t="s">
        <v>1105</v>
      </c>
      <c r="B441" s="3" t="s">
        <v>1106</v>
      </c>
      <c r="C441" s="61" t="s">
        <v>3279</v>
      </c>
      <c r="D441" s="3" t="s">
        <v>3248</v>
      </c>
      <c r="E441" s="3">
        <v>1</v>
      </c>
      <c r="F441" s="3" t="s">
        <v>1904</v>
      </c>
      <c r="G441" s="9">
        <v>2161.0707579999998</v>
      </c>
      <c r="H441" s="66">
        <v>63751.587360999998</v>
      </c>
      <c r="I441" s="9">
        <v>2508.8567915200101</v>
      </c>
      <c r="J441" s="10">
        <v>1.1609322749995816</v>
      </c>
      <c r="K441" s="66">
        <v>18368.41984515508</v>
      </c>
      <c r="L441" s="69">
        <v>82120.007206155075</v>
      </c>
      <c r="M441" s="64">
        <v>3215330.8335621632</v>
      </c>
      <c r="N441" s="67">
        <v>64449.061235015339</v>
      </c>
      <c r="O441" s="64">
        <f t="shared" si="12"/>
        <v>146569.06844117041</v>
      </c>
      <c r="P441" s="64">
        <f t="shared" si="13"/>
        <v>67.822429181733639</v>
      </c>
    </row>
    <row r="442" spans="1:16" ht="15">
      <c r="A442" s="3" t="str">
        <f>"017530"</f>
        <v>017530</v>
      </c>
      <c r="B442" s="3" t="s">
        <v>2603</v>
      </c>
      <c r="C442" s="61" t="s">
        <v>3279</v>
      </c>
      <c r="D442" s="3" t="s">
        <v>3249</v>
      </c>
      <c r="E442" s="3">
        <v>1</v>
      </c>
      <c r="F442" s="3" t="s">
        <v>3220</v>
      </c>
      <c r="G442" s="9">
        <v>24</v>
      </c>
      <c r="H442" s="66">
        <v>708</v>
      </c>
      <c r="I442" s="9">
        <v>24</v>
      </c>
      <c r="J442" s="10">
        <v>1</v>
      </c>
      <c r="K442" s="66">
        <v>0</v>
      </c>
      <c r="L442" s="69">
        <v>708</v>
      </c>
      <c r="M442" s="64">
        <v>0</v>
      </c>
      <c r="N442" s="67">
        <v>0</v>
      </c>
      <c r="O442" s="64">
        <f t="shared" si="12"/>
        <v>708</v>
      </c>
      <c r="P442" s="64">
        <f t="shared" si="13"/>
        <v>29.5</v>
      </c>
    </row>
    <row r="443" spans="1:16" ht="15">
      <c r="A443" s="3" t="s">
        <v>472</v>
      </c>
      <c r="B443" s="3" t="s">
        <v>473</v>
      </c>
      <c r="C443" s="61" t="s">
        <v>3279</v>
      </c>
      <c r="D443" s="3" t="s">
        <v>456</v>
      </c>
      <c r="E443" s="3">
        <v>1</v>
      </c>
      <c r="F443" s="3" t="s">
        <v>1897</v>
      </c>
      <c r="G443" s="9">
        <v>685.20115699999997</v>
      </c>
      <c r="H443" s="66">
        <v>20213.434131499998</v>
      </c>
      <c r="I443" s="9">
        <v>949.18374475685198</v>
      </c>
      <c r="J443" s="10">
        <v>1.3852629042727258</v>
      </c>
      <c r="K443" s="66">
        <v>13942.316644090779</v>
      </c>
      <c r="L443" s="69">
        <v>34155.750775590779</v>
      </c>
      <c r="M443" s="64">
        <v>0</v>
      </c>
      <c r="N443" s="67">
        <v>0</v>
      </c>
      <c r="O443" s="64">
        <f t="shared" si="12"/>
        <v>34155.750775590779</v>
      </c>
      <c r="P443" s="64">
        <f t="shared" si="13"/>
        <v>49.847771602041796</v>
      </c>
    </row>
    <row r="444" spans="1:16" ht="15">
      <c r="A444" s="3" t="str">
        <f>"068205"</f>
        <v>068205</v>
      </c>
      <c r="B444" s="3" t="s">
        <v>2718</v>
      </c>
      <c r="C444" s="61" t="s">
        <v>3279</v>
      </c>
      <c r="D444" s="3" t="s">
        <v>3249</v>
      </c>
      <c r="E444" s="3">
        <v>1</v>
      </c>
      <c r="F444" s="3" t="s">
        <v>3220</v>
      </c>
      <c r="G444" s="9">
        <v>306</v>
      </c>
      <c r="H444" s="66">
        <v>9027</v>
      </c>
      <c r="I444" s="9">
        <v>311.89920000000001</v>
      </c>
      <c r="J444" s="10">
        <v>1.0192784313725491</v>
      </c>
      <c r="K444" s="66">
        <v>311.56795243850542</v>
      </c>
      <c r="L444" s="69">
        <v>9338.567952438505</v>
      </c>
      <c r="M444" s="64">
        <v>0</v>
      </c>
      <c r="N444" s="67">
        <v>0</v>
      </c>
      <c r="O444" s="64">
        <f t="shared" si="12"/>
        <v>9338.567952438505</v>
      </c>
      <c r="P444" s="64">
        <f t="shared" si="13"/>
        <v>30.518195923001649</v>
      </c>
    </row>
    <row r="445" spans="1:16" ht="15">
      <c r="A445" s="3" t="s">
        <v>616</v>
      </c>
      <c r="B445" s="3" t="s">
        <v>617</v>
      </c>
      <c r="C445" s="61" t="s">
        <v>3279</v>
      </c>
      <c r="D445" s="3" t="s">
        <v>3248</v>
      </c>
      <c r="E445" s="3">
        <v>1</v>
      </c>
      <c r="F445" s="3" t="s">
        <v>1906</v>
      </c>
      <c r="G445" s="9">
        <v>5584.4358309999998</v>
      </c>
      <c r="H445" s="66">
        <v>164740.85701449998</v>
      </c>
      <c r="I445" s="9">
        <v>6687.2575774035804</v>
      </c>
      <c r="J445" s="10">
        <v>1.1974813176796946</v>
      </c>
      <c r="K445" s="66">
        <v>58245.849171348622</v>
      </c>
      <c r="L445" s="69">
        <v>222986.7061858486</v>
      </c>
      <c r="M445" s="64">
        <v>2503611.892951231</v>
      </c>
      <c r="N445" s="67">
        <v>50183.152076691891</v>
      </c>
      <c r="O445" s="64">
        <f t="shared" si="12"/>
        <v>273169.85826254048</v>
      </c>
      <c r="P445" s="64">
        <f t="shared" si="13"/>
        <v>48.916285642702817</v>
      </c>
    </row>
    <row r="446" spans="1:16" ht="15">
      <c r="A446" s="3" t="str">
        <f>"009467"</f>
        <v>009467</v>
      </c>
      <c r="B446" s="3" t="s">
        <v>3201</v>
      </c>
      <c r="C446" s="61" t="s">
        <v>3279</v>
      </c>
      <c r="D446" s="3" t="s">
        <v>3249</v>
      </c>
      <c r="E446" s="3">
        <v>1</v>
      </c>
      <c r="F446" s="3" t="s">
        <v>3220</v>
      </c>
      <c r="G446" s="9">
        <v>299</v>
      </c>
      <c r="H446" s="66">
        <v>8820.5</v>
      </c>
      <c r="I446" s="9">
        <v>299</v>
      </c>
      <c r="J446" s="10">
        <v>1</v>
      </c>
      <c r="K446" s="66">
        <v>0</v>
      </c>
      <c r="L446" s="69">
        <v>8820.5</v>
      </c>
      <c r="M446" s="64">
        <v>0</v>
      </c>
      <c r="N446" s="67">
        <v>0</v>
      </c>
      <c r="O446" s="64">
        <f t="shared" si="12"/>
        <v>8820.5</v>
      </c>
      <c r="P446" s="64">
        <f t="shared" si="13"/>
        <v>29.5</v>
      </c>
    </row>
    <row r="447" spans="1:16" ht="15">
      <c r="A447" s="3" t="str">
        <f>"132662"</f>
        <v>132662</v>
      </c>
      <c r="B447" s="3" t="s">
        <v>2565</v>
      </c>
      <c r="C447" s="61" t="s">
        <v>3279</v>
      </c>
      <c r="D447" s="3" t="s">
        <v>3249</v>
      </c>
      <c r="E447" s="3">
        <v>1</v>
      </c>
      <c r="F447" s="3" t="s">
        <v>3220</v>
      </c>
      <c r="G447" s="9">
        <v>21</v>
      </c>
      <c r="H447" s="66">
        <v>619.5</v>
      </c>
      <c r="I447" s="9">
        <v>21</v>
      </c>
      <c r="J447" s="10">
        <v>1</v>
      </c>
      <c r="K447" s="66">
        <v>0</v>
      </c>
      <c r="L447" s="69">
        <v>619.5</v>
      </c>
      <c r="M447" s="64">
        <v>0</v>
      </c>
      <c r="N447" s="67">
        <v>0</v>
      </c>
      <c r="O447" s="64">
        <f t="shared" si="12"/>
        <v>619.5</v>
      </c>
      <c r="P447" s="64">
        <f t="shared" si="13"/>
        <v>29.5</v>
      </c>
    </row>
    <row r="448" spans="1:16" ht="15">
      <c r="A448" s="3" t="str">
        <f>"011933"</f>
        <v>011933</v>
      </c>
      <c r="B448" s="3" t="s">
        <v>3193</v>
      </c>
      <c r="C448" s="61" t="s">
        <v>3279</v>
      </c>
      <c r="D448" s="3" t="s">
        <v>3249</v>
      </c>
      <c r="E448" s="3">
        <v>1</v>
      </c>
      <c r="F448" s="3" t="s">
        <v>3220</v>
      </c>
      <c r="G448" s="9">
        <v>77</v>
      </c>
      <c r="H448" s="66">
        <v>2271.5</v>
      </c>
      <c r="I448" s="9">
        <v>77</v>
      </c>
      <c r="J448" s="10">
        <v>1</v>
      </c>
      <c r="K448" s="66">
        <v>0</v>
      </c>
      <c r="L448" s="69">
        <v>2271.5</v>
      </c>
      <c r="M448" s="64">
        <v>0</v>
      </c>
      <c r="N448" s="67">
        <v>0</v>
      </c>
      <c r="O448" s="64">
        <f t="shared" si="12"/>
        <v>2271.5</v>
      </c>
      <c r="P448" s="64">
        <f t="shared" si="13"/>
        <v>29.5</v>
      </c>
    </row>
    <row r="449" spans="1:16" ht="15">
      <c r="A449" s="3" t="s">
        <v>1107</v>
      </c>
      <c r="B449" s="3" t="s">
        <v>1108</v>
      </c>
      <c r="C449" s="61" t="s">
        <v>3279</v>
      </c>
      <c r="D449" s="3" t="s">
        <v>3248</v>
      </c>
      <c r="E449" s="3">
        <v>1</v>
      </c>
      <c r="F449" s="3" t="s">
        <v>1907</v>
      </c>
      <c r="G449" s="9">
        <v>20816.996692000001</v>
      </c>
      <c r="H449" s="66">
        <v>614101.40241400001</v>
      </c>
      <c r="I449" s="9">
        <v>24732.484313002798</v>
      </c>
      <c r="J449" s="10">
        <v>1.1880908989387275</v>
      </c>
      <c r="K449" s="66">
        <v>206797.60999358466</v>
      </c>
      <c r="L449" s="69">
        <v>820899.0124075847</v>
      </c>
      <c r="M449" s="64">
        <v>10087387.449873189</v>
      </c>
      <c r="N449" s="67">
        <v>202194.63722740844</v>
      </c>
      <c r="O449" s="64">
        <f t="shared" si="12"/>
        <v>1023093.6496349932</v>
      </c>
      <c r="P449" s="64">
        <f t="shared" si="13"/>
        <v>49.147034261103066</v>
      </c>
    </row>
    <row r="450" spans="1:16" ht="15">
      <c r="A450" s="3" t="str">
        <f>"095166"</f>
        <v>095166</v>
      </c>
      <c r="B450" s="3" t="s">
        <v>2804</v>
      </c>
      <c r="C450" s="61" t="s">
        <v>3279</v>
      </c>
      <c r="D450" s="3" t="s">
        <v>3249</v>
      </c>
      <c r="E450" s="3">
        <v>1</v>
      </c>
      <c r="F450" s="3" t="s">
        <v>3220</v>
      </c>
      <c r="G450" s="9">
        <v>147</v>
      </c>
      <c r="H450" s="66">
        <v>4336.5</v>
      </c>
      <c r="I450" s="9">
        <v>158.06100000000001</v>
      </c>
      <c r="J450" s="10">
        <v>1.0752448979591838</v>
      </c>
      <c r="K450" s="66">
        <v>584.18991082219725</v>
      </c>
      <c r="L450" s="69">
        <v>4920.6899108221969</v>
      </c>
      <c r="M450" s="64">
        <v>0</v>
      </c>
      <c r="N450" s="67">
        <v>0</v>
      </c>
      <c r="O450" s="64">
        <f t="shared" si="12"/>
        <v>4920.6899108221969</v>
      </c>
      <c r="P450" s="64">
        <f t="shared" si="13"/>
        <v>33.474081026001336</v>
      </c>
    </row>
    <row r="451" spans="1:16" ht="15">
      <c r="A451" s="3" t="str">
        <f>"132910"</f>
        <v>132910</v>
      </c>
      <c r="B451" s="3" t="s">
        <v>3044</v>
      </c>
      <c r="C451" s="61" t="s">
        <v>3279</v>
      </c>
      <c r="D451" s="3" t="s">
        <v>3249</v>
      </c>
      <c r="E451" s="3">
        <v>1</v>
      </c>
      <c r="F451" s="3" t="s">
        <v>3220</v>
      </c>
      <c r="G451" s="9">
        <v>27</v>
      </c>
      <c r="H451" s="66">
        <v>796.5</v>
      </c>
      <c r="I451" s="9">
        <v>27</v>
      </c>
      <c r="J451" s="10">
        <v>1</v>
      </c>
      <c r="K451" s="66">
        <v>0</v>
      </c>
      <c r="L451" s="69">
        <v>796.5</v>
      </c>
      <c r="M451" s="64">
        <v>0</v>
      </c>
      <c r="N451" s="67">
        <v>0</v>
      </c>
      <c r="O451" s="64">
        <f t="shared" ref="O451:O514" si="14">(N451+L451)</f>
        <v>796.5</v>
      </c>
      <c r="P451" s="64">
        <f t="shared" ref="P451:P514" si="15">O451/G451</f>
        <v>29.5</v>
      </c>
    </row>
    <row r="452" spans="1:16" ht="15">
      <c r="A452" s="3" t="str">
        <f>"058016"</f>
        <v>058016</v>
      </c>
      <c r="B452" s="3" t="s">
        <v>2689</v>
      </c>
      <c r="C452" s="61" t="s">
        <v>3279</v>
      </c>
      <c r="D452" s="3" t="s">
        <v>3249</v>
      </c>
      <c r="E452" s="3">
        <v>1</v>
      </c>
      <c r="F452" s="3" t="s">
        <v>3220</v>
      </c>
      <c r="G452" s="9">
        <v>335</v>
      </c>
      <c r="H452" s="66">
        <v>9882.5</v>
      </c>
      <c r="I452" s="9">
        <v>357.12200000000001</v>
      </c>
      <c r="J452" s="10">
        <v>1.0660358208955225</v>
      </c>
      <c r="K452" s="66">
        <v>1168.3798216443945</v>
      </c>
      <c r="L452" s="69">
        <v>11050.879821644394</v>
      </c>
      <c r="M452" s="64">
        <v>0</v>
      </c>
      <c r="N452" s="67">
        <v>0</v>
      </c>
      <c r="O452" s="64">
        <f t="shared" si="14"/>
        <v>11050.879821644394</v>
      </c>
      <c r="P452" s="64">
        <f t="shared" si="15"/>
        <v>32.987700960132521</v>
      </c>
    </row>
    <row r="453" spans="1:16" ht="15">
      <c r="A453" s="3" t="str">
        <f>"058115"</f>
        <v>058115</v>
      </c>
      <c r="B453" s="3" t="s">
        <v>2867</v>
      </c>
      <c r="C453" s="61" t="s">
        <v>3279</v>
      </c>
      <c r="D453" s="3" t="s">
        <v>3249</v>
      </c>
      <c r="E453" s="3">
        <v>1</v>
      </c>
      <c r="F453" s="3" t="s">
        <v>3220</v>
      </c>
      <c r="G453" s="9">
        <v>763</v>
      </c>
      <c r="H453" s="66">
        <v>22508.5</v>
      </c>
      <c r="I453" s="9">
        <v>791.75279999999998</v>
      </c>
      <c r="J453" s="10">
        <v>1.037683879423329</v>
      </c>
      <c r="K453" s="66">
        <v>1518.5874394619339</v>
      </c>
      <c r="L453" s="69">
        <v>24027.087439461935</v>
      </c>
      <c r="M453" s="64">
        <v>0</v>
      </c>
      <c r="N453" s="67">
        <v>0</v>
      </c>
      <c r="O453" s="64">
        <f t="shared" si="14"/>
        <v>24027.087439461935</v>
      </c>
      <c r="P453" s="64">
        <f t="shared" si="15"/>
        <v>31.490284979635565</v>
      </c>
    </row>
    <row r="454" spans="1:16" ht="15">
      <c r="A454" s="3" t="s">
        <v>1109</v>
      </c>
      <c r="B454" s="3" t="s">
        <v>1866</v>
      </c>
      <c r="C454" s="61" t="s">
        <v>3309</v>
      </c>
      <c r="D454" s="3" t="s">
        <v>3248</v>
      </c>
      <c r="E454" s="3">
        <v>1</v>
      </c>
      <c r="F454" s="3" t="s">
        <v>1904</v>
      </c>
      <c r="G454" s="9">
        <v>1463.877512</v>
      </c>
      <c r="H454" s="66">
        <v>43184.386603999999</v>
      </c>
      <c r="I454" s="9">
        <v>1695.8185310685999</v>
      </c>
      <c r="J454" s="10">
        <v>1.1584429142242332</v>
      </c>
      <c r="K454" s="66">
        <v>12250.031936144545</v>
      </c>
      <c r="L454" s="69">
        <v>55434.418540144543</v>
      </c>
      <c r="M454" s="64">
        <v>897472.39461473713</v>
      </c>
      <c r="N454" s="67">
        <v>17989.207428829508</v>
      </c>
      <c r="O454" s="64">
        <f t="shared" si="14"/>
        <v>73423.625968974055</v>
      </c>
      <c r="P454" s="64">
        <f t="shared" si="15"/>
        <v>50.156946443326504</v>
      </c>
    </row>
    <row r="455" spans="1:16" ht="15">
      <c r="A455" s="3" t="s">
        <v>476</v>
      </c>
      <c r="B455" s="3" t="s">
        <v>1844</v>
      </c>
      <c r="C455" s="61" t="s">
        <v>3309</v>
      </c>
      <c r="D455" s="3" t="s">
        <v>456</v>
      </c>
      <c r="E455" s="3">
        <v>1</v>
      </c>
      <c r="F455" s="3" t="s">
        <v>1897</v>
      </c>
      <c r="G455" s="9">
        <v>809.37978099999998</v>
      </c>
      <c r="H455" s="66">
        <v>23876.703539499998</v>
      </c>
      <c r="I455" s="9">
        <v>1048.5300537784999</v>
      </c>
      <c r="J455" s="10">
        <v>1.2954734951286113</v>
      </c>
      <c r="K455" s="66">
        <v>12630.790753781386</v>
      </c>
      <c r="L455" s="69">
        <v>36507.494293281386</v>
      </c>
      <c r="M455" s="64">
        <v>0</v>
      </c>
      <c r="N455" s="67">
        <v>0</v>
      </c>
      <c r="O455" s="64">
        <f t="shared" si="14"/>
        <v>36507.494293281386</v>
      </c>
      <c r="P455" s="64">
        <f t="shared" si="15"/>
        <v>45.105518015505488</v>
      </c>
    </row>
    <row r="456" spans="1:16" ht="15">
      <c r="A456" s="3" t="str">
        <f>"094946"</f>
        <v>094946</v>
      </c>
      <c r="B456" s="3" t="s">
        <v>2650</v>
      </c>
      <c r="C456" s="61" t="s">
        <v>3309</v>
      </c>
      <c r="D456" s="3" t="s">
        <v>3249</v>
      </c>
      <c r="E456" s="3">
        <v>1</v>
      </c>
      <c r="F456" s="3" t="s">
        <v>3220</v>
      </c>
      <c r="G456" s="9">
        <v>38</v>
      </c>
      <c r="H456" s="66">
        <v>1121</v>
      </c>
      <c r="I456" s="9">
        <v>40.237400000000001</v>
      </c>
      <c r="J456" s="10">
        <v>1.058878947368421</v>
      </c>
      <c r="K456" s="66">
        <v>118.16892744540131</v>
      </c>
      <c r="L456" s="69">
        <v>1239.1689274454013</v>
      </c>
      <c r="M456" s="64">
        <v>0</v>
      </c>
      <c r="N456" s="67">
        <v>0</v>
      </c>
      <c r="O456" s="64">
        <f t="shared" si="14"/>
        <v>1239.1689274454013</v>
      </c>
      <c r="P456" s="64">
        <f t="shared" si="15"/>
        <v>32.609708616984243</v>
      </c>
    </row>
    <row r="457" spans="1:16" ht="15">
      <c r="A457" s="3" t="str">
        <f>"012522"</f>
        <v>012522</v>
      </c>
      <c r="B457" s="3" t="s">
        <v>3191</v>
      </c>
      <c r="C457" s="61" t="s">
        <v>3309</v>
      </c>
      <c r="D457" s="3" t="s">
        <v>3249</v>
      </c>
      <c r="E457" s="3">
        <v>1</v>
      </c>
      <c r="F457" s="3" t="s">
        <v>3220</v>
      </c>
      <c r="G457" s="9">
        <v>22</v>
      </c>
      <c r="H457" s="66">
        <v>649</v>
      </c>
      <c r="I457" s="9">
        <v>22</v>
      </c>
      <c r="J457" s="10">
        <v>1</v>
      </c>
      <c r="K457" s="66">
        <v>0</v>
      </c>
      <c r="L457" s="69">
        <v>649</v>
      </c>
      <c r="M457" s="64">
        <v>0</v>
      </c>
      <c r="N457" s="67">
        <v>0</v>
      </c>
      <c r="O457" s="64">
        <f t="shared" si="14"/>
        <v>649</v>
      </c>
      <c r="P457" s="64">
        <f t="shared" si="15"/>
        <v>29.5</v>
      </c>
    </row>
    <row r="458" spans="1:16" ht="15">
      <c r="A458" s="3" t="s">
        <v>660</v>
      </c>
      <c r="B458" s="3" t="s">
        <v>1733</v>
      </c>
      <c r="C458" s="61" t="s">
        <v>3309</v>
      </c>
      <c r="D458" s="3" t="s">
        <v>3248</v>
      </c>
      <c r="E458" s="3">
        <v>1</v>
      </c>
      <c r="F458" s="3" t="s">
        <v>1906</v>
      </c>
      <c r="G458" s="9">
        <v>1312.171838</v>
      </c>
      <c r="H458" s="66">
        <v>38709.069220999998</v>
      </c>
      <c r="I458" s="9">
        <v>1523.5075008992701</v>
      </c>
      <c r="J458" s="10">
        <v>1.1610579169427886</v>
      </c>
      <c r="K458" s="66">
        <v>11161.754096616442</v>
      </c>
      <c r="L458" s="69">
        <v>49870.823317616436</v>
      </c>
      <c r="M458" s="64">
        <v>554032.9089818314</v>
      </c>
      <c r="N458" s="67">
        <v>11105.202769329084</v>
      </c>
      <c r="O458" s="64">
        <f t="shared" si="14"/>
        <v>60976.026086945523</v>
      </c>
      <c r="P458" s="64">
        <f t="shared" si="15"/>
        <v>46.46954333350471</v>
      </c>
    </row>
    <row r="459" spans="1:16" ht="15">
      <c r="A459" s="3" t="s">
        <v>3263</v>
      </c>
      <c r="B459" s="3" t="s">
        <v>3265</v>
      </c>
      <c r="C459" s="61" t="s">
        <v>3309</v>
      </c>
      <c r="D459" s="3" t="s">
        <v>3248</v>
      </c>
      <c r="E459" s="3">
        <v>1</v>
      </c>
      <c r="F459" s="3" t="s">
        <v>3260</v>
      </c>
      <c r="G459" s="9">
        <v>5</v>
      </c>
      <c r="H459" s="66">
        <v>147.5</v>
      </c>
      <c r="I459" s="9">
        <v>5</v>
      </c>
      <c r="J459" s="10">
        <v>1</v>
      </c>
      <c r="K459" s="66">
        <v>0</v>
      </c>
      <c r="L459" s="69">
        <v>147.5</v>
      </c>
      <c r="M459" s="64">
        <v>0</v>
      </c>
      <c r="N459" s="67">
        <v>0</v>
      </c>
      <c r="O459" s="64">
        <f t="shared" si="14"/>
        <v>147.5</v>
      </c>
      <c r="P459" s="64">
        <f t="shared" si="15"/>
        <v>29.5</v>
      </c>
    </row>
    <row r="460" spans="1:16" ht="15">
      <c r="A460" s="3" t="s">
        <v>1110</v>
      </c>
      <c r="B460" s="3" t="s">
        <v>1111</v>
      </c>
      <c r="C460" s="61" t="s">
        <v>3309</v>
      </c>
      <c r="D460" s="3" t="s">
        <v>3248</v>
      </c>
      <c r="E460" s="3">
        <v>1</v>
      </c>
      <c r="F460" s="3" t="s">
        <v>3223</v>
      </c>
      <c r="G460" s="9">
        <v>1146.66299</v>
      </c>
      <c r="H460" s="66">
        <v>33826.558205000001</v>
      </c>
      <c r="I460" s="9">
        <v>1386.74722616228</v>
      </c>
      <c r="J460" s="10">
        <v>1.2093764586945288</v>
      </c>
      <c r="K460" s="66">
        <v>12680.118299743021</v>
      </c>
      <c r="L460" s="69">
        <v>46506.676504743024</v>
      </c>
      <c r="M460" s="64">
        <v>775121.60815368278</v>
      </c>
      <c r="N460" s="67">
        <v>15536.771353987157</v>
      </c>
      <c r="O460" s="64">
        <f t="shared" si="14"/>
        <v>62043.447858730178</v>
      </c>
      <c r="P460" s="64">
        <f t="shared" si="15"/>
        <v>54.107831507433737</v>
      </c>
    </row>
    <row r="461" spans="1:16" ht="15">
      <c r="A461" s="3" t="s">
        <v>141</v>
      </c>
      <c r="B461" s="3" t="s">
        <v>1705</v>
      </c>
      <c r="C461" s="61" t="s">
        <v>3309</v>
      </c>
      <c r="D461" s="3" t="s">
        <v>1684</v>
      </c>
      <c r="E461" s="3">
        <v>1</v>
      </c>
      <c r="F461" s="3" t="s">
        <v>3266</v>
      </c>
      <c r="G461" s="9">
        <v>211.765038</v>
      </c>
      <c r="H461" s="66">
        <v>6247.0686210000003</v>
      </c>
      <c r="I461" s="9">
        <v>288.51130322060402</v>
      </c>
      <c r="J461" s="10">
        <v>1.3624123507139267</v>
      </c>
      <c r="K461" s="66">
        <v>4053.3761716988811</v>
      </c>
      <c r="L461" s="69">
        <v>10300.444792698881</v>
      </c>
      <c r="M461" s="64">
        <v>0</v>
      </c>
      <c r="N461" s="67">
        <v>0</v>
      </c>
      <c r="O461" s="64">
        <f t="shared" si="14"/>
        <v>10300.444792698881</v>
      </c>
      <c r="P461" s="64">
        <f t="shared" si="15"/>
        <v>48.640913013690586</v>
      </c>
    </row>
    <row r="462" spans="1:16" ht="15">
      <c r="A462" s="3" t="s">
        <v>1112</v>
      </c>
      <c r="B462" s="3" t="s">
        <v>1113</v>
      </c>
      <c r="C462" s="61" t="s">
        <v>3309</v>
      </c>
      <c r="D462" s="3" t="s">
        <v>3248</v>
      </c>
      <c r="E462" s="3">
        <v>1</v>
      </c>
      <c r="F462" s="3" t="s">
        <v>1906</v>
      </c>
      <c r="G462" s="9">
        <v>1886.3707730000001</v>
      </c>
      <c r="H462" s="66">
        <v>55647.937803500005</v>
      </c>
      <c r="I462" s="9">
        <v>2162.9832052454699</v>
      </c>
      <c r="J462" s="10">
        <v>1.1466373611193932</v>
      </c>
      <c r="K462" s="66">
        <v>14609.36552986095</v>
      </c>
      <c r="L462" s="69">
        <v>70257.303333360949</v>
      </c>
      <c r="M462" s="64">
        <v>891955.55414827028</v>
      </c>
      <c r="N462" s="67">
        <v>17878.626214188767</v>
      </c>
      <c r="O462" s="64">
        <f t="shared" si="14"/>
        <v>88135.92954754972</v>
      </c>
      <c r="P462" s="64">
        <f t="shared" si="15"/>
        <v>46.722484682787076</v>
      </c>
    </row>
    <row r="463" spans="1:16" ht="15">
      <c r="A463" s="3" t="str">
        <f>"053751"</f>
        <v>053751</v>
      </c>
      <c r="B463" s="3" t="s">
        <v>2963</v>
      </c>
      <c r="C463" s="61" t="s">
        <v>3309</v>
      </c>
      <c r="D463" s="3" t="s">
        <v>3249</v>
      </c>
      <c r="E463" s="3">
        <v>1</v>
      </c>
      <c r="F463" s="3" t="s">
        <v>3220</v>
      </c>
      <c r="G463" s="9">
        <v>525</v>
      </c>
      <c r="H463" s="66">
        <v>15487.5</v>
      </c>
      <c r="I463" s="9">
        <v>580.67559999999992</v>
      </c>
      <c r="J463" s="10">
        <v>1.1060487619047616</v>
      </c>
      <c r="K463" s="66">
        <v>2940.5229001873477</v>
      </c>
      <c r="L463" s="69">
        <v>18428.022900187349</v>
      </c>
      <c r="M463" s="64">
        <v>0</v>
      </c>
      <c r="N463" s="67">
        <v>0</v>
      </c>
      <c r="O463" s="64">
        <f t="shared" si="14"/>
        <v>18428.022900187349</v>
      </c>
      <c r="P463" s="64">
        <f t="shared" si="15"/>
        <v>35.100996000356858</v>
      </c>
    </row>
    <row r="464" spans="1:16" ht="15">
      <c r="A464" s="3" t="s">
        <v>775</v>
      </c>
      <c r="B464" s="3" t="s">
        <v>776</v>
      </c>
      <c r="C464" s="61" t="s">
        <v>3309</v>
      </c>
      <c r="D464" s="3" t="s">
        <v>3248</v>
      </c>
      <c r="E464" s="3">
        <v>1</v>
      </c>
      <c r="F464" s="3" t="s">
        <v>1909</v>
      </c>
      <c r="G464" s="9">
        <v>3193.0526249999998</v>
      </c>
      <c r="H464" s="66">
        <v>94195.052437499995</v>
      </c>
      <c r="I464" s="9">
        <v>4500.6748918608901</v>
      </c>
      <c r="J464" s="10">
        <v>1.4095210509914131</v>
      </c>
      <c r="K464" s="66">
        <v>69062.447831713434</v>
      </c>
      <c r="L464" s="69">
        <v>163257.50026921343</v>
      </c>
      <c r="M464" s="64">
        <v>1620243.3563805206</v>
      </c>
      <c r="N464" s="67">
        <v>32476.646633375462</v>
      </c>
      <c r="O464" s="64">
        <f t="shared" si="14"/>
        <v>195734.14690258889</v>
      </c>
      <c r="P464" s="64">
        <f t="shared" si="15"/>
        <v>61.300006573674594</v>
      </c>
    </row>
    <row r="465" spans="1:16" ht="15">
      <c r="A465" s="3" t="str">
        <f>"059287"</f>
        <v>059287</v>
      </c>
      <c r="B465" s="3" t="s">
        <v>2689</v>
      </c>
      <c r="C465" s="61" t="s">
        <v>3309</v>
      </c>
      <c r="D465" s="3" t="s">
        <v>3249</v>
      </c>
      <c r="E465" s="3">
        <v>1</v>
      </c>
      <c r="F465" s="3" t="s">
        <v>3220</v>
      </c>
      <c r="G465" s="9">
        <v>88</v>
      </c>
      <c r="H465" s="66">
        <v>2596</v>
      </c>
      <c r="I465" s="9">
        <v>96.774000000000001</v>
      </c>
      <c r="J465" s="10">
        <v>1.0997045454545455</v>
      </c>
      <c r="K465" s="66">
        <v>463.40134504601355</v>
      </c>
      <c r="L465" s="69">
        <v>3059.4013450460134</v>
      </c>
      <c r="M465" s="64">
        <v>0</v>
      </c>
      <c r="N465" s="67">
        <v>0</v>
      </c>
      <c r="O465" s="64">
        <f t="shared" si="14"/>
        <v>3059.4013450460134</v>
      </c>
      <c r="P465" s="64">
        <f t="shared" si="15"/>
        <v>34.765924375522879</v>
      </c>
    </row>
    <row r="466" spans="1:16" ht="15">
      <c r="A466" s="3" t="str">
        <f>"059360"</f>
        <v>059360</v>
      </c>
      <c r="B466" s="3" t="s">
        <v>2673</v>
      </c>
      <c r="C466" s="61" t="s">
        <v>3309</v>
      </c>
      <c r="D466" s="3" t="s">
        <v>3249</v>
      </c>
      <c r="E466" s="3">
        <v>1</v>
      </c>
      <c r="F466" s="3" t="s">
        <v>3220</v>
      </c>
      <c r="G466" s="9">
        <v>124</v>
      </c>
      <c r="H466" s="66">
        <v>3658</v>
      </c>
      <c r="I466" s="9">
        <v>127.01219999999999</v>
      </c>
      <c r="J466" s="10">
        <v>1.0242919354838709</v>
      </c>
      <c r="K466" s="66">
        <v>159.09021330608599</v>
      </c>
      <c r="L466" s="69">
        <v>3817.0902133060858</v>
      </c>
      <c r="M466" s="64">
        <v>0</v>
      </c>
      <c r="N466" s="67">
        <v>0</v>
      </c>
      <c r="O466" s="64">
        <f t="shared" si="14"/>
        <v>3817.0902133060858</v>
      </c>
      <c r="P466" s="64">
        <f t="shared" si="15"/>
        <v>30.782985591178111</v>
      </c>
    </row>
    <row r="467" spans="1:16" ht="15">
      <c r="A467" s="3" t="s">
        <v>263</v>
      </c>
      <c r="B467" s="3" t="s">
        <v>264</v>
      </c>
      <c r="C467" s="61" t="s">
        <v>3309</v>
      </c>
      <c r="D467" s="3" t="s">
        <v>1684</v>
      </c>
      <c r="E467" s="3">
        <v>1</v>
      </c>
      <c r="F467" s="3" t="s">
        <v>3266</v>
      </c>
      <c r="G467" s="9">
        <v>1140.244109</v>
      </c>
      <c r="H467" s="66">
        <v>33637.201215499997</v>
      </c>
      <c r="I467" s="9">
        <v>1571.0542049944499</v>
      </c>
      <c r="J467" s="10">
        <v>1.3778226895399377</v>
      </c>
      <c r="K467" s="66">
        <v>22753.359692640788</v>
      </c>
      <c r="L467" s="69">
        <v>56390.560908140789</v>
      </c>
      <c r="M467" s="64">
        <v>0</v>
      </c>
      <c r="N467" s="67">
        <v>0</v>
      </c>
      <c r="O467" s="64">
        <f t="shared" si="14"/>
        <v>56390.560908140789</v>
      </c>
      <c r="P467" s="64">
        <f t="shared" si="15"/>
        <v>49.454814511250234</v>
      </c>
    </row>
    <row r="468" spans="1:16" ht="15">
      <c r="A468" s="3" t="s">
        <v>1114</v>
      </c>
      <c r="B468" s="3" t="s">
        <v>1115</v>
      </c>
      <c r="C468" s="61" t="s">
        <v>3309</v>
      </c>
      <c r="D468" s="3" t="s">
        <v>3248</v>
      </c>
      <c r="E468" s="3">
        <v>1</v>
      </c>
      <c r="F468" s="3" t="s">
        <v>1904</v>
      </c>
      <c r="G468" s="9">
        <v>1823.1190879999999</v>
      </c>
      <c r="H468" s="66">
        <v>53782.013095999995</v>
      </c>
      <c r="I468" s="9">
        <v>2186.9884778635601</v>
      </c>
      <c r="J468" s="10">
        <v>1.1995861884495613</v>
      </c>
      <c r="K468" s="66">
        <v>19217.866957356513</v>
      </c>
      <c r="L468" s="69">
        <v>72999.880053356508</v>
      </c>
      <c r="M468" s="64">
        <v>1068757.6863786355</v>
      </c>
      <c r="N468" s="67">
        <v>21422.501490616298</v>
      </c>
      <c r="O468" s="64">
        <f t="shared" si="14"/>
        <v>94422.381543972806</v>
      </c>
      <c r="P468" s="64">
        <f t="shared" si="15"/>
        <v>51.791669653108698</v>
      </c>
    </row>
    <row r="469" spans="1:16" ht="15">
      <c r="A469" s="3" t="s">
        <v>1116</v>
      </c>
      <c r="B469" s="3" t="s">
        <v>1117</v>
      </c>
      <c r="C469" s="61" t="s">
        <v>3282</v>
      </c>
      <c r="D469" s="3" t="s">
        <v>3248</v>
      </c>
      <c r="E469" s="3">
        <v>1</v>
      </c>
      <c r="F469" s="3" t="s">
        <v>3224</v>
      </c>
      <c r="G469" s="9">
        <v>1444.440658</v>
      </c>
      <c r="H469" s="66">
        <v>42610.999410999997</v>
      </c>
      <c r="I469" s="9">
        <v>1737.32042245294</v>
      </c>
      <c r="J469" s="10">
        <v>1.2027634453730116</v>
      </c>
      <c r="K469" s="66">
        <v>15468.529380470936</v>
      </c>
      <c r="L469" s="69">
        <v>58079.528791470933</v>
      </c>
      <c r="M469" s="64">
        <v>1406585.1217817175</v>
      </c>
      <c r="N469" s="67">
        <v>28194.016522256195</v>
      </c>
      <c r="O469" s="64">
        <f t="shared" si="14"/>
        <v>86273.545313727125</v>
      </c>
      <c r="P469" s="64">
        <f t="shared" si="15"/>
        <v>59.727995633398407</v>
      </c>
    </row>
    <row r="470" spans="1:16" ht="15">
      <c r="A470" s="3" t="s">
        <v>1118</v>
      </c>
      <c r="B470" s="3" t="s">
        <v>1119</v>
      </c>
      <c r="C470" s="61" t="s">
        <v>3282</v>
      </c>
      <c r="D470" s="3" t="s">
        <v>3248</v>
      </c>
      <c r="E470" s="3">
        <v>1</v>
      </c>
      <c r="F470" s="3" t="s">
        <v>3223</v>
      </c>
      <c r="G470" s="9">
        <v>820.55416300000002</v>
      </c>
      <c r="H470" s="66">
        <v>24206.347808499999</v>
      </c>
      <c r="I470" s="9">
        <v>1027.1059940489999</v>
      </c>
      <c r="J470" s="10">
        <v>1.2517223607687673</v>
      </c>
      <c r="K470" s="66">
        <v>10909.094635265956</v>
      </c>
      <c r="L470" s="69">
        <v>35115.442443765955</v>
      </c>
      <c r="M470" s="64">
        <v>748633.02383791585</v>
      </c>
      <c r="N470" s="67">
        <v>15005.826178835643</v>
      </c>
      <c r="O470" s="64">
        <f t="shared" si="14"/>
        <v>50121.268622601594</v>
      </c>
      <c r="P470" s="64">
        <f t="shared" si="15"/>
        <v>61.082218435593497</v>
      </c>
    </row>
    <row r="471" spans="1:16" ht="15">
      <c r="A471" s="3" t="s">
        <v>1120</v>
      </c>
      <c r="B471" s="3" t="s">
        <v>1121</v>
      </c>
      <c r="C471" s="61" t="s">
        <v>3282</v>
      </c>
      <c r="D471" s="3" t="s">
        <v>3248</v>
      </c>
      <c r="E471" s="3">
        <v>1</v>
      </c>
      <c r="F471" s="3" t="s">
        <v>1904</v>
      </c>
      <c r="G471" s="9">
        <v>2035.1642899999999</v>
      </c>
      <c r="H471" s="66">
        <v>60037.346554999996</v>
      </c>
      <c r="I471" s="9">
        <v>2300.9969678873599</v>
      </c>
      <c r="J471" s="10">
        <v>1.1306197633250337</v>
      </c>
      <c r="K471" s="66">
        <v>14040.029688874658</v>
      </c>
      <c r="L471" s="69">
        <v>74077.376243874649</v>
      </c>
      <c r="M471" s="64">
        <v>1831622.3021747791</v>
      </c>
      <c r="N471" s="67">
        <v>36713.589992076275</v>
      </c>
      <c r="O471" s="64">
        <f t="shared" si="14"/>
        <v>110790.96623595092</v>
      </c>
      <c r="P471" s="64">
        <f t="shared" si="15"/>
        <v>54.438340324825042</v>
      </c>
    </row>
    <row r="472" spans="1:16" ht="15">
      <c r="A472" s="3" t="str">
        <f>"134510"</f>
        <v>134510</v>
      </c>
      <c r="B472" s="3" t="s">
        <v>2891</v>
      </c>
      <c r="C472" s="61" t="s">
        <v>3282</v>
      </c>
      <c r="D472" s="3" t="s">
        <v>3249</v>
      </c>
      <c r="E472" s="3">
        <v>1</v>
      </c>
      <c r="F472" s="3" t="s">
        <v>3220</v>
      </c>
      <c r="G472" s="9">
        <v>446</v>
      </c>
      <c r="H472" s="66">
        <v>13157</v>
      </c>
      <c r="I472" s="9">
        <v>478.49680000000001</v>
      </c>
      <c r="J472" s="10">
        <v>1.0728627802690582</v>
      </c>
      <c r="K472" s="66">
        <v>1716.3278812048434</v>
      </c>
      <c r="L472" s="69">
        <v>14873.327881204843</v>
      </c>
      <c r="M472" s="64">
        <v>0</v>
      </c>
      <c r="N472" s="67">
        <v>0</v>
      </c>
      <c r="O472" s="64">
        <f t="shared" si="14"/>
        <v>14873.327881204843</v>
      </c>
      <c r="P472" s="64">
        <f t="shared" si="15"/>
        <v>33.348268791939113</v>
      </c>
    </row>
    <row r="473" spans="1:16" ht="15">
      <c r="A473" s="19">
        <v>68890</v>
      </c>
      <c r="B473" s="20" t="s">
        <v>1927</v>
      </c>
      <c r="C473" s="61" t="s">
        <v>3282</v>
      </c>
      <c r="D473" s="19" t="s">
        <v>1973</v>
      </c>
      <c r="E473" s="19">
        <v>1</v>
      </c>
      <c r="F473" s="19" t="s">
        <v>1974</v>
      </c>
      <c r="G473" s="9">
        <v>25.400000000000002</v>
      </c>
      <c r="H473" s="66">
        <v>749.30000000000007</v>
      </c>
      <c r="I473" s="9">
        <v>114.722138</v>
      </c>
      <c r="J473" s="10">
        <v>4.5166196062992121</v>
      </c>
      <c r="K473" s="66">
        <v>4717.5745260526137</v>
      </c>
      <c r="L473" s="69">
        <v>5466.8745260526139</v>
      </c>
      <c r="M473" s="64">
        <v>0</v>
      </c>
      <c r="N473" s="67">
        <v>0</v>
      </c>
      <c r="O473" s="64">
        <f t="shared" si="14"/>
        <v>5466.8745260526139</v>
      </c>
      <c r="P473" s="64">
        <f t="shared" si="15"/>
        <v>215.2312805532525</v>
      </c>
    </row>
    <row r="474" spans="1:16" ht="15">
      <c r="A474" s="3" t="s">
        <v>1122</v>
      </c>
      <c r="B474" s="3" t="s">
        <v>1123</v>
      </c>
      <c r="C474" s="61" t="s">
        <v>3282</v>
      </c>
      <c r="D474" s="3" t="s">
        <v>3248</v>
      </c>
      <c r="E474" s="3">
        <v>1</v>
      </c>
      <c r="F474" s="3" t="s">
        <v>3224</v>
      </c>
      <c r="G474" s="9">
        <v>1901.882321</v>
      </c>
      <c r="H474" s="66">
        <v>56105.528469500001</v>
      </c>
      <c r="I474" s="9">
        <v>2298.46743089656</v>
      </c>
      <c r="J474" s="10">
        <v>1.2085224230319558</v>
      </c>
      <c r="K474" s="66">
        <v>20945.75716335616</v>
      </c>
      <c r="L474" s="69">
        <v>77051.285632856161</v>
      </c>
      <c r="M474" s="64">
        <v>1844206.5766748616</v>
      </c>
      <c r="N474" s="67">
        <v>36965.832986603695</v>
      </c>
      <c r="O474" s="64">
        <f t="shared" si="14"/>
        <v>114017.11861945986</v>
      </c>
      <c r="P474" s="64">
        <f t="shared" si="15"/>
        <v>59.949617997137821</v>
      </c>
    </row>
    <row r="475" spans="1:16" ht="15">
      <c r="A475" s="3" t="str">
        <f>"015557"</f>
        <v>015557</v>
      </c>
      <c r="B475" s="3" t="s">
        <v>3174</v>
      </c>
      <c r="C475" s="61" t="s">
        <v>3282</v>
      </c>
      <c r="D475" s="3" t="s">
        <v>3249</v>
      </c>
      <c r="E475" s="3">
        <v>1</v>
      </c>
      <c r="F475" s="3" t="s">
        <v>3220</v>
      </c>
      <c r="G475" s="9">
        <v>20</v>
      </c>
      <c r="H475" s="66">
        <v>590</v>
      </c>
      <c r="I475" s="9">
        <v>20</v>
      </c>
      <c r="J475" s="10">
        <v>1</v>
      </c>
      <c r="K475" s="66">
        <v>0</v>
      </c>
      <c r="L475" s="69">
        <v>590</v>
      </c>
      <c r="M475" s="64">
        <v>0</v>
      </c>
      <c r="N475" s="67">
        <v>0</v>
      </c>
      <c r="O475" s="64">
        <f t="shared" si="14"/>
        <v>590</v>
      </c>
      <c r="P475" s="64">
        <f t="shared" si="15"/>
        <v>29.5</v>
      </c>
    </row>
    <row r="476" spans="1:16" ht="15">
      <c r="A476" s="3" t="s">
        <v>671</v>
      </c>
      <c r="B476" s="3" t="s">
        <v>672</v>
      </c>
      <c r="C476" s="61" t="s">
        <v>3282</v>
      </c>
      <c r="D476" s="3" t="s">
        <v>3248</v>
      </c>
      <c r="E476" s="3">
        <v>1</v>
      </c>
      <c r="F476" s="3" t="s">
        <v>1905</v>
      </c>
      <c r="G476" s="9">
        <v>6405.2519510000002</v>
      </c>
      <c r="H476" s="66">
        <v>188954.9325545</v>
      </c>
      <c r="I476" s="9">
        <v>8164.8583287466899</v>
      </c>
      <c r="J476" s="10">
        <v>1.2747130622195082</v>
      </c>
      <c r="K476" s="66">
        <v>92934.119238586703</v>
      </c>
      <c r="L476" s="69">
        <v>281889.05179308669</v>
      </c>
      <c r="M476" s="64">
        <v>2153348.5588777349</v>
      </c>
      <c r="N476" s="67">
        <v>43162.368140416758</v>
      </c>
      <c r="O476" s="64">
        <f t="shared" si="14"/>
        <v>325051.41993350344</v>
      </c>
      <c r="P476" s="64">
        <f t="shared" si="15"/>
        <v>50.747639971095246</v>
      </c>
    </row>
    <row r="477" spans="1:16" ht="15">
      <c r="A477" s="3" t="s">
        <v>1124</v>
      </c>
      <c r="B477" s="3" t="s">
        <v>1125</v>
      </c>
      <c r="C477" s="61" t="s">
        <v>3282</v>
      </c>
      <c r="D477" s="3" t="s">
        <v>3248</v>
      </c>
      <c r="E477" s="3">
        <v>1</v>
      </c>
      <c r="F477" s="3" t="s">
        <v>1904</v>
      </c>
      <c r="G477" s="9">
        <v>1223.687817</v>
      </c>
      <c r="H477" s="66">
        <v>36098.790601499997</v>
      </c>
      <c r="I477" s="9">
        <v>1461.76840408834</v>
      </c>
      <c r="J477" s="10">
        <v>1.1945599063591397</v>
      </c>
      <c r="K477" s="66">
        <v>12574.294994994452</v>
      </c>
      <c r="L477" s="69">
        <v>48673.085596494449</v>
      </c>
      <c r="M477" s="64">
        <v>748198.70734509313</v>
      </c>
      <c r="N477" s="67">
        <v>14997.120608028081</v>
      </c>
      <c r="O477" s="64">
        <f t="shared" si="14"/>
        <v>63670.206204522532</v>
      </c>
      <c r="P477" s="64">
        <f t="shared" si="15"/>
        <v>52.031413012361902</v>
      </c>
    </row>
    <row r="478" spans="1:16" ht="15">
      <c r="A478" s="3" t="s">
        <v>1126</v>
      </c>
      <c r="B478" s="3" t="s">
        <v>1127</v>
      </c>
      <c r="C478" s="61" t="s">
        <v>3282</v>
      </c>
      <c r="D478" s="3" t="s">
        <v>3248</v>
      </c>
      <c r="E478" s="3">
        <v>1</v>
      </c>
      <c r="F478" s="3" t="s">
        <v>1907</v>
      </c>
      <c r="G478" s="9">
        <v>10403.417576</v>
      </c>
      <c r="H478" s="66">
        <v>306900.81849199999</v>
      </c>
      <c r="I478" s="9">
        <v>12804.203173277099</v>
      </c>
      <c r="J478" s="10">
        <v>1.2307689352790716</v>
      </c>
      <c r="K478" s="66">
        <v>126798.18497211132</v>
      </c>
      <c r="L478" s="69">
        <v>433699.0034641113</v>
      </c>
      <c r="M478" s="64">
        <v>5615228.1136369426</v>
      </c>
      <c r="N478" s="67">
        <v>112553.32632239079</v>
      </c>
      <c r="O478" s="64">
        <f t="shared" si="14"/>
        <v>546252.32978650206</v>
      </c>
      <c r="P478" s="64">
        <f t="shared" si="15"/>
        <v>52.50700799001573</v>
      </c>
    </row>
    <row r="479" spans="1:16" ht="15">
      <c r="A479" s="3" t="str">
        <f>"057810"</f>
        <v>057810</v>
      </c>
      <c r="B479" s="3" t="s">
        <v>2733</v>
      </c>
      <c r="C479" s="61" t="s">
        <v>3282</v>
      </c>
      <c r="D479" s="3" t="s">
        <v>3249</v>
      </c>
      <c r="E479" s="3">
        <v>1</v>
      </c>
      <c r="F479" s="3" t="s">
        <v>3220</v>
      </c>
      <c r="G479" s="9">
        <v>88</v>
      </c>
      <c r="H479" s="66">
        <v>2596</v>
      </c>
      <c r="I479" s="9">
        <v>97.036600000000007</v>
      </c>
      <c r="J479" s="10">
        <v>1.1026886363636363</v>
      </c>
      <c r="K479" s="66">
        <v>477.27063991825946</v>
      </c>
      <c r="L479" s="69">
        <v>3073.2706399182593</v>
      </c>
      <c r="M479" s="64">
        <v>0</v>
      </c>
      <c r="N479" s="67">
        <v>0</v>
      </c>
      <c r="O479" s="64">
        <f t="shared" si="14"/>
        <v>3073.2706399182593</v>
      </c>
      <c r="P479" s="64">
        <f t="shared" si="15"/>
        <v>34.923529999071128</v>
      </c>
    </row>
    <row r="480" spans="1:16" ht="15">
      <c r="A480" s="3" t="str">
        <f>"058024"</f>
        <v>058024</v>
      </c>
      <c r="B480" s="3" t="s">
        <v>2689</v>
      </c>
      <c r="C480" s="61" t="s">
        <v>3282</v>
      </c>
      <c r="D480" s="3" t="s">
        <v>3249</v>
      </c>
      <c r="E480" s="3">
        <v>1</v>
      </c>
      <c r="F480" s="3" t="s">
        <v>3220</v>
      </c>
      <c r="G480" s="9">
        <v>190</v>
      </c>
      <c r="H480" s="66">
        <v>5605</v>
      </c>
      <c r="I480" s="9">
        <v>197.44299999999998</v>
      </c>
      <c r="J480" s="10">
        <v>1.0391736842105261</v>
      </c>
      <c r="K480" s="66">
        <v>393.10419548409743</v>
      </c>
      <c r="L480" s="69">
        <v>5998.1041954840975</v>
      </c>
      <c r="M480" s="64">
        <v>0</v>
      </c>
      <c r="N480" s="67">
        <v>0</v>
      </c>
      <c r="O480" s="64">
        <f t="shared" si="14"/>
        <v>5998.1041954840975</v>
      </c>
      <c r="P480" s="64">
        <f t="shared" si="15"/>
        <v>31.568969449916302</v>
      </c>
    </row>
    <row r="481" spans="1:16" ht="15">
      <c r="A481" s="3" t="s">
        <v>1128</v>
      </c>
      <c r="B481" s="3" t="s">
        <v>1129</v>
      </c>
      <c r="C481" s="61" t="s">
        <v>3282</v>
      </c>
      <c r="D481" s="3" t="s">
        <v>3248</v>
      </c>
      <c r="E481" s="3">
        <v>1</v>
      </c>
      <c r="F481" s="3" t="s">
        <v>3224</v>
      </c>
      <c r="G481" s="9">
        <v>487.92303399999997</v>
      </c>
      <c r="H481" s="66">
        <v>14393.729502999999</v>
      </c>
      <c r="I481" s="9">
        <v>622.10813744777397</v>
      </c>
      <c r="J481" s="10">
        <v>1.2750128485382677</v>
      </c>
      <c r="K481" s="66">
        <v>7087.0250083014507</v>
      </c>
      <c r="L481" s="69">
        <v>21480.754511301449</v>
      </c>
      <c r="M481" s="64">
        <v>254854.5939414704</v>
      </c>
      <c r="N481" s="67">
        <v>5108.3823659793979</v>
      </c>
      <c r="O481" s="64">
        <f t="shared" si="14"/>
        <v>26589.136877280849</v>
      </c>
      <c r="P481" s="64">
        <f t="shared" si="15"/>
        <v>54.494530949487519</v>
      </c>
    </row>
    <row r="482" spans="1:16" ht="15">
      <c r="A482" s="3" t="str">
        <f>"052670"</f>
        <v>052670</v>
      </c>
      <c r="B482" s="3" t="s">
        <v>2789</v>
      </c>
      <c r="C482" s="61" t="s">
        <v>3282</v>
      </c>
      <c r="D482" s="3" t="s">
        <v>3249</v>
      </c>
      <c r="E482" s="3">
        <v>1</v>
      </c>
      <c r="F482" s="3" t="s">
        <v>3220</v>
      </c>
      <c r="G482" s="9">
        <v>163</v>
      </c>
      <c r="H482" s="66">
        <v>4808.5</v>
      </c>
      <c r="I482" s="9">
        <v>173.3236</v>
      </c>
      <c r="J482" s="10">
        <v>1.0633349693251535</v>
      </c>
      <c r="K482" s="66">
        <v>545.24391676738367</v>
      </c>
      <c r="L482" s="69">
        <v>5353.7439167673838</v>
      </c>
      <c r="M482" s="64">
        <v>0</v>
      </c>
      <c r="N482" s="67">
        <v>0</v>
      </c>
      <c r="O482" s="64">
        <f t="shared" si="14"/>
        <v>5353.7439167673838</v>
      </c>
      <c r="P482" s="64">
        <f t="shared" si="15"/>
        <v>32.84505470409438</v>
      </c>
    </row>
    <row r="483" spans="1:16" ht="15">
      <c r="A483" s="3" t="str">
        <f>"017547"</f>
        <v>017547</v>
      </c>
      <c r="B483" s="3" t="s">
        <v>2685</v>
      </c>
      <c r="C483" s="61" t="s">
        <v>3326</v>
      </c>
      <c r="D483" s="3" t="s">
        <v>3249</v>
      </c>
      <c r="E483" s="3">
        <v>1</v>
      </c>
      <c r="F483" s="3" t="s">
        <v>3220</v>
      </c>
      <c r="G483" s="9">
        <v>111</v>
      </c>
      <c r="H483" s="66">
        <v>3274.5</v>
      </c>
      <c r="I483" s="9">
        <v>114.687</v>
      </c>
      <c r="J483" s="10">
        <v>1.0332162162162162</v>
      </c>
      <c r="K483" s="66">
        <v>194.72997027406547</v>
      </c>
      <c r="L483" s="69">
        <v>3469.2299702740656</v>
      </c>
      <c r="M483" s="64">
        <v>0</v>
      </c>
      <c r="N483" s="67">
        <v>0</v>
      </c>
      <c r="O483" s="64">
        <f t="shared" si="14"/>
        <v>3469.2299702740656</v>
      </c>
      <c r="P483" s="64">
        <f t="shared" si="15"/>
        <v>31.254324056523114</v>
      </c>
    </row>
    <row r="484" spans="1:16" ht="15">
      <c r="A484" s="3" t="s">
        <v>1130</v>
      </c>
      <c r="B484" s="3" t="s">
        <v>1131</v>
      </c>
      <c r="C484" s="61" t="s">
        <v>3326</v>
      </c>
      <c r="D484" s="3" t="s">
        <v>3248</v>
      </c>
      <c r="E484" s="3">
        <v>1</v>
      </c>
      <c r="F484" s="3" t="s">
        <v>3223</v>
      </c>
      <c r="G484" s="9">
        <v>2459.4034839999999</v>
      </c>
      <c r="H484" s="66">
        <v>72552.402778000003</v>
      </c>
      <c r="I484" s="9">
        <v>2962.15099690734</v>
      </c>
      <c r="J484" s="10">
        <v>1.2044184763411272</v>
      </c>
      <c r="K484" s="66">
        <v>26552.755151561363</v>
      </c>
      <c r="L484" s="69">
        <v>99105.157929561363</v>
      </c>
      <c r="M484" s="64">
        <v>4109883.0371982567</v>
      </c>
      <c r="N484" s="67">
        <v>82379.735474900168</v>
      </c>
      <c r="O484" s="64">
        <f t="shared" si="14"/>
        <v>181484.89340446153</v>
      </c>
      <c r="P484" s="64">
        <f t="shared" si="15"/>
        <v>73.792240510813855</v>
      </c>
    </row>
    <row r="485" spans="1:16" ht="15">
      <c r="A485" s="3" t="s">
        <v>825</v>
      </c>
      <c r="B485" s="3" t="s">
        <v>826</v>
      </c>
      <c r="C485" s="61" t="s">
        <v>3326</v>
      </c>
      <c r="D485" s="3" t="s">
        <v>3248</v>
      </c>
      <c r="E485" s="3">
        <v>1</v>
      </c>
      <c r="F485" s="3" t="s">
        <v>1905</v>
      </c>
      <c r="G485" s="9">
        <v>2161.465111</v>
      </c>
      <c r="H485" s="66">
        <v>63763.220774499998</v>
      </c>
      <c r="I485" s="9">
        <v>2764.2721130263099</v>
      </c>
      <c r="J485" s="10">
        <v>1.2788881481170065</v>
      </c>
      <c r="K485" s="66">
        <v>31837.425979273648</v>
      </c>
      <c r="L485" s="69">
        <v>95600.646753773646</v>
      </c>
      <c r="M485" s="64">
        <v>949455.98229973146</v>
      </c>
      <c r="N485" s="67">
        <v>19031.182142894719</v>
      </c>
      <c r="O485" s="64">
        <f t="shared" si="14"/>
        <v>114631.82889666836</v>
      </c>
      <c r="P485" s="64">
        <f t="shared" si="15"/>
        <v>53.034318395097316</v>
      </c>
    </row>
    <row r="486" spans="1:16" ht="15">
      <c r="A486" s="3" t="s">
        <v>62</v>
      </c>
      <c r="B486" s="3" t="s">
        <v>63</v>
      </c>
      <c r="C486" s="61" t="s">
        <v>3274</v>
      </c>
      <c r="D486" s="3" t="s">
        <v>1684</v>
      </c>
      <c r="E486" s="3">
        <v>1</v>
      </c>
      <c r="F486" s="3" t="s">
        <v>3266</v>
      </c>
      <c r="G486" s="9">
        <v>685.66666099999998</v>
      </c>
      <c r="H486" s="66">
        <v>20227.166499499999</v>
      </c>
      <c r="I486" s="9">
        <v>910.04039127253498</v>
      </c>
      <c r="J486" s="10">
        <v>1.3272344172973214</v>
      </c>
      <c r="K486" s="66">
        <v>11850.363391985884</v>
      </c>
      <c r="L486" s="69">
        <v>32077.529891485883</v>
      </c>
      <c r="M486" s="64">
        <v>0</v>
      </c>
      <c r="N486" s="67">
        <v>0</v>
      </c>
      <c r="O486" s="64">
        <f t="shared" si="14"/>
        <v>32077.529891485883</v>
      </c>
      <c r="P486" s="64">
        <f t="shared" si="15"/>
        <v>46.782980296435738</v>
      </c>
    </row>
    <row r="487" spans="1:16" ht="15">
      <c r="A487" s="3" t="s">
        <v>281</v>
      </c>
      <c r="B487" s="3" t="s">
        <v>1808</v>
      </c>
      <c r="C487" s="61" t="s">
        <v>3274</v>
      </c>
      <c r="D487" s="3" t="s">
        <v>1684</v>
      </c>
      <c r="E487" s="3">
        <v>1</v>
      </c>
      <c r="F487" s="3" t="s">
        <v>3266</v>
      </c>
      <c r="G487" s="9">
        <v>127.98147400000001</v>
      </c>
      <c r="H487" s="66">
        <v>3775.4534830000002</v>
      </c>
      <c r="I487" s="9">
        <v>188.97615797705299</v>
      </c>
      <c r="J487" s="10">
        <v>1.4765899475189119</v>
      </c>
      <c r="K487" s="66">
        <v>3221.4518572626939</v>
      </c>
      <c r="L487" s="69">
        <v>6996.9053402626942</v>
      </c>
      <c r="M487" s="64">
        <v>0</v>
      </c>
      <c r="N487" s="67">
        <v>0</v>
      </c>
      <c r="O487" s="64">
        <f t="shared" si="14"/>
        <v>6996.9053402626942</v>
      </c>
      <c r="P487" s="64">
        <f t="shared" si="15"/>
        <v>54.671235777943096</v>
      </c>
    </row>
    <row r="488" spans="1:16" ht="15">
      <c r="A488" s="3" t="str">
        <f>"057588"</f>
        <v>057588</v>
      </c>
      <c r="B488" s="3" t="s">
        <v>3031</v>
      </c>
      <c r="C488" s="61" t="s">
        <v>3274</v>
      </c>
      <c r="D488" s="3" t="s">
        <v>3249</v>
      </c>
      <c r="E488" s="3">
        <v>1</v>
      </c>
      <c r="F488" s="3" t="s">
        <v>3220</v>
      </c>
      <c r="G488" s="9">
        <v>337</v>
      </c>
      <c r="H488" s="66">
        <v>9941.5</v>
      </c>
      <c r="I488" s="9">
        <v>419.73259999999999</v>
      </c>
      <c r="J488" s="10">
        <v>1.2454973293768545</v>
      </c>
      <c r="K488" s="66">
        <v>4369.5461726867798</v>
      </c>
      <c r="L488" s="69">
        <v>14311.04617268678</v>
      </c>
      <c r="M488" s="64">
        <v>0</v>
      </c>
      <c r="N488" s="67">
        <v>0</v>
      </c>
      <c r="O488" s="64">
        <f t="shared" si="14"/>
        <v>14311.04617268678</v>
      </c>
      <c r="P488" s="64">
        <f t="shared" si="15"/>
        <v>42.466012381859883</v>
      </c>
    </row>
    <row r="489" spans="1:16" ht="15">
      <c r="A489" s="3" t="s">
        <v>433</v>
      </c>
      <c r="B489" s="3" t="s">
        <v>434</v>
      </c>
      <c r="C489" s="61" t="s">
        <v>3274</v>
      </c>
      <c r="D489" s="3" t="s">
        <v>1684</v>
      </c>
      <c r="E489" s="3">
        <v>1</v>
      </c>
      <c r="F489" s="3" t="s">
        <v>3266</v>
      </c>
      <c r="G489" s="9">
        <v>393.40853099999998</v>
      </c>
      <c r="H489" s="66">
        <v>11605.551664499999</v>
      </c>
      <c r="I489" s="9">
        <v>447.45558443276002</v>
      </c>
      <c r="J489" s="10">
        <v>1.1373814982999442</v>
      </c>
      <c r="K489" s="66">
        <v>2854.510742707404</v>
      </c>
      <c r="L489" s="69">
        <v>14460.062407207402</v>
      </c>
      <c r="M489" s="64">
        <v>0</v>
      </c>
      <c r="N489" s="67">
        <v>0</v>
      </c>
      <c r="O489" s="64">
        <f t="shared" si="14"/>
        <v>14460.062407207402</v>
      </c>
      <c r="P489" s="64">
        <f t="shared" si="15"/>
        <v>36.755843525943781</v>
      </c>
    </row>
    <row r="490" spans="1:16" ht="15">
      <c r="A490" s="3" t="str">
        <f>"098525"</f>
        <v>098525</v>
      </c>
      <c r="B490" s="3" t="s">
        <v>2573</v>
      </c>
      <c r="C490" s="61" t="s">
        <v>3274</v>
      </c>
      <c r="D490" s="3" t="s">
        <v>3249</v>
      </c>
      <c r="E490" s="3">
        <v>1</v>
      </c>
      <c r="F490" s="3" t="s">
        <v>3220</v>
      </c>
      <c r="G490" s="9">
        <v>45</v>
      </c>
      <c r="H490" s="66">
        <v>1327.5</v>
      </c>
      <c r="I490" s="9">
        <v>45</v>
      </c>
      <c r="J490" s="10">
        <v>1</v>
      </c>
      <c r="K490" s="66">
        <v>0</v>
      </c>
      <c r="L490" s="69">
        <v>1327.5</v>
      </c>
      <c r="M490" s="64">
        <v>0</v>
      </c>
      <c r="N490" s="67">
        <v>0</v>
      </c>
      <c r="O490" s="64">
        <f t="shared" si="14"/>
        <v>1327.5</v>
      </c>
      <c r="P490" s="64">
        <f t="shared" si="15"/>
        <v>29.5</v>
      </c>
    </row>
    <row r="491" spans="1:16" ht="15">
      <c r="A491" s="3" t="s">
        <v>572</v>
      </c>
      <c r="B491" s="3" t="s">
        <v>573</v>
      </c>
      <c r="C491" s="61" t="s">
        <v>3274</v>
      </c>
      <c r="D491" s="3" t="s">
        <v>3248</v>
      </c>
      <c r="E491" s="3">
        <v>1</v>
      </c>
      <c r="F491" s="3" t="s">
        <v>1907</v>
      </c>
      <c r="G491" s="9">
        <v>2490.4432700000002</v>
      </c>
      <c r="H491" s="66">
        <v>73468.076465000006</v>
      </c>
      <c r="I491" s="9">
        <v>2975.5388704027901</v>
      </c>
      <c r="J491" s="10">
        <v>1.1947828349460012</v>
      </c>
      <c r="K491" s="66">
        <v>25620.464292518383</v>
      </c>
      <c r="L491" s="69">
        <v>99088.540757518393</v>
      </c>
      <c r="M491" s="64">
        <v>253377.48042004602</v>
      </c>
      <c r="N491" s="67">
        <v>5078.774656937564</v>
      </c>
      <c r="O491" s="64">
        <f t="shared" si="14"/>
        <v>104167.31541445595</v>
      </c>
      <c r="P491" s="64">
        <f t="shared" si="15"/>
        <v>41.826817205298532</v>
      </c>
    </row>
    <row r="492" spans="1:16" ht="15">
      <c r="A492" s="3" t="str">
        <f>"052696"</f>
        <v>052696</v>
      </c>
      <c r="B492" s="3" t="s">
        <v>2890</v>
      </c>
      <c r="C492" s="61" t="s">
        <v>3274</v>
      </c>
      <c r="D492" s="3" t="s">
        <v>3249</v>
      </c>
      <c r="E492" s="3">
        <v>1</v>
      </c>
      <c r="F492" s="3" t="s">
        <v>3220</v>
      </c>
      <c r="G492" s="9">
        <v>716</v>
      </c>
      <c r="H492" s="66">
        <v>21122</v>
      </c>
      <c r="I492" s="9">
        <v>758.49680000000001</v>
      </c>
      <c r="J492" s="10">
        <v>1.0593530726256983</v>
      </c>
      <c r="K492" s="66">
        <v>2244.4807704754307</v>
      </c>
      <c r="L492" s="69">
        <v>23366.480770475431</v>
      </c>
      <c r="M492" s="64">
        <v>0</v>
      </c>
      <c r="N492" s="67">
        <v>0</v>
      </c>
      <c r="O492" s="64">
        <f t="shared" si="14"/>
        <v>23366.480770475431</v>
      </c>
      <c r="P492" s="64">
        <f t="shared" si="15"/>
        <v>32.634749679434961</v>
      </c>
    </row>
    <row r="493" spans="1:16" ht="15">
      <c r="A493" s="3" t="str">
        <f>"052704"</f>
        <v>052704</v>
      </c>
      <c r="B493" s="3" t="s">
        <v>3008</v>
      </c>
      <c r="C493" s="61" t="s">
        <v>3274</v>
      </c>
      <c r="D493" s="3" t="s">
        <v>3249</v>
      </c>
      <c r="E493" s="3">
        <v>1</v>
      </c>
      <c r="F493" s="3" t="s">
        <v>3220</v>
      </c>
      <c r="G493" s="9">
        <v>424</v>
      </c>
      <c r="H493" s="66">
        <v>12508</v>
      </c>
      <c r="I493" s="9">
        <v>462.88719999999995</v>
      </c>
      <c r="J493" s="10">
        <v>1.0917150943396225</v>
      </c>
      <c r="K493" s="66">
        <v>2053.8387035643163</v>
      </c>
      <c r="L493" s="69">
        <v>14561.838703564317</v>
      </c>
      <c r="M493" s="64">
        <v>0</v>
      </c>
      <c r="N493" s="67">
        <v>0</v>
      </c>
      <c r="O493" s="64">
        <f t="shared" si="14"/>
        <v>14561.838703564317</v>
      </c>
      <c r="P493" s="64">
        <f t="shared" si="15"/>
        <v>34.343959206519614</v>
      </c>
    </row>
    <row r="494" spans="1:16" ht="15">
      <c r="A494" s="3" t="str">
        <f>"052720"</f>
        <v>052720</v>
      </c>
      <c r="B494" s="3" t="s">
        <v>2827</v>
      </c>
      <c r="C494" s="61" t="s">
        <v>3274</v>
      </c>
      <c r="D494" s="3" t="s">
        <v>3249</v>
      </c>
      <c r="E494" s="3">
        <v>1</v>
      </c>
      <c r="F494" s="3" t="s">
        <v>3220</v>
      </c>
      <c r="G494" s="9">
        <v>881</v>
      </c>
      <c r="H494" s="66">
        <v>25989.5</v>
      </c>
      <c r="I494" s="9">
        <v>892.79840000000002</v>
      </c>
      <c r="J494" s="10">
        <v>1.0133920544835415</v>
      </c>
      <c r="K494" s="66">
        <v>623.13590487701083</v>
      </c>
      <c r="L494" s="69">
        <v>26612.63590487701</v>
      </c>
      <c r="M494" s="64">
        <v>0</v>
      </c>
      <c r="N494" s="67">
        <v>0</v>
      </c>
      <c r="O494" s="64">
        <f t="shared" si="14"/>
        <v>26612.63590487701</v>
      </c>
      <c r="P494" s="64">
        <f t="shared" si="15"/>
        <v>30.207305226875153</v>
      </c>
    </row>
    <row r="495" spans="1:16" ht="15">
      <c r="A495" s="3" t="str">
        <f>"122457"</f>
        <v>122457</v>
      </c>
      <c r="B495" s="3" t="s">
        <v>3022</v>
      </c>
      <c r="C495" s="61" t="s">
        <v>3274</v>
      </c>
      <c r="D495" s="3" t="s">
        <v>3249</v>
      </c>
      <c r="E495" s="3">
        <v>1</v>
      </c>
      <c r="F495" s="3" t="s">
        <v>3220</v>
      </c>
      <c r="G495" s="9">
        <v>233</v>
      </c>
      <c r="H495" s="66">
        <v>6873.5</v>
      </c>
      <c r="I495" s="9">
        <v>273.31300000000005</v>
      </c>
      <c r="J495" s="10">
        <v>1.1730171673819745</v>
      </c>
      <c r="K495" s="66">
        <v>2129.1427425165216</v>
      </c>
      <c r="L495" s="69">
        <v>9002.642742516522</v>
      </c>
      <c r="M495" s="64">
        <v>0</v>
      </c>
      <c r="N495" s="67">
        <v>0</v>
      </c>
      <c r="O495" s="64">
        <f t="shared" si="14"/>
        <v>9002.642742516522</v>
      </c>
      <c r="P495" s="64">
        <f t="shared" si="15"/>
        <v>38.637951684620269</v>
      </c>
    </row>
    <row r="496" spans="1:16" ht="15">
      <c r="A496" s="3" t="s">
        <v>1711</v>
      </c>
      <c r="B496" s="3" t="s">
        <v>1712</v>
      </c>
      <c r="C496" s="61" t="s">
        <v>3274</v>
      </c>
      <c r="D496" s="3" t="s">
        <v>1684</v>
      </c>
      <c r="E496" s="3">
        <v>1</v>
      </c>
      <c r="F496" s="3" t="s">
        <v>3266</v>
      </c>
      <c r="G496" s="9">
        <v>247.32978</v>
      </c>
      <c r="H496" s="66">
        <v>7296.2285099999999</v>
      </c>
      <c r="I496" s="9">
        <v>386.24146925281599</v>
      </c>
      <c r="J496" s="10">
        <v>1.5616456265509797</v>
      </c>
      <c r="K496" s="66">
        <v>7336.6610032332783</v>
      </c>
      <c r="L496" s="69">
        <v>14632.889513233278</v>
      </c>
      <c r="M496" s="64">
        <v>0</v>
      </c>
      <c r="N496" s="67">
        <v>0</v>
      </c>
      <c r="O496" s="64">
        <f t="shared" si="14"/>
        <v>14632.889513233278</v>
      </c>
      <c r="P496" s="64">
        <f t="shared" si="15"/>
        <v>59.16347604090894</v>
      </c>
    </row>
    <row r="497" spans="1:16" ht="15">
      <c r="A497" s="3" t="str">
        <f>"091777"</f>
        <v>091777</v>
      </c>
      <c r="B497" s="3" t="s">
        <v>2993</v>
      </c>
      <c r="C497" s="61" t="s">
        <v>3274</v>
      </c>
      <c r="D497" s="3" t="s">
        <v>3249</v>
      </c>
      <c r="E497" s="3">
        <v>1</v>
      </c>
      <c r="F497" s="3" t="s">
        <v>3220</v>
      </c>
      <c r="G497" s="9">
        <v>237</v>
      </c>
      <c r="H497" s="66">
        <v>6991.5</v>
      </c>
      <c r="I497" s="9">
        <v>249.05260000000001</v>
      </c>
      <c r="J497" s="10">
        <v>1.0508548523206751</v>
      </c>
      <c r="K497" s="66">
        <v>636.56155132226888</v>
      </c>
      <c r="L497" s="69">
        <v>7628.0615513222692</v>
      </c>
      <c r="M497" s="64">
        <v>0</v>
      </c>
      <c r="N497" s="67">
        <v>0</v>
      </c>
      <c r="O497" s="64">
        <f t="shared" si="14"/>
        <v>7628.0615513222692</v>
      </c>
      <c r="P497" s="64">
        <f t="shared" si="15"/>
        <v>32.185913718659364</v>
      </c>
    </row>
    <row r="498" spans="1:16" ht="15">
      <c r="A498" s="3" t="s">
        <v>1132</v>
      </c>
      <c r="B498" s="3" t="s">
        <v>1133</v>
      </c>
      <c r="C498" s="61" t="s">
        <v>3274</v>
      </c>
      <c r="D498" s="3" t="s">
        <v>3248</v>
      </c>
      <c r="E498" s="3">
        <v>1</v>
      </c>
      <c r="F498" s="3" t="s">
        <v>1906</v>
      </c>
      <c r="G498" s="9">
        <v>3811.632826</v>
      </c>
      <c r="H498" s="66">
        <v>112443.16836700001</v>
      </c>
      <c r="I498" s="9">
        <v>4636.5189777577098</v>
      </c>
      <c r="J498" s="10">
        <v>1.2164128050663685</v>
      </c>
      <c r="K498" s="66">
        <v>43566.600437013069</v>
      </c>
      <c r="L498" s="69">
        <v>156009.76880401309</v>
      </c>
      <c r="M498" s="64">
        <v>2460655.0877751615</v>
      </c>
      <c r="N498" s="67">
        <v>49322.112914452417</v>
      </c>
      <c r="O498" s="64">
        <f t="shared" si="14"/>
        <v>205331.88171846551</v>
      </c>
      <c r="P498" s="64">
        <f t="shared" si="15"/>
        <v>53.869795725824062</v>
      </c>
    </row>
    <row r="499" spans="1:16" ht="15">
      <c r="A499" s="52" t="s">
        <v>3227</v>
      </c>
      <c r="B499" s="52" t="s">
        <v>3228</v>
      </c>
      <c r="C499" s="61" t="s">
        <v>3274</v>
      </c>
      <c r="D499" s="3" t="s">
        <v>1684</v>
      </c>
      <c r="E499" s="3">
        <v>1</v>
      </c>
      <c r="F499" s="3" t="s">
        <v>3266</v>
      </c>
      <c r="G499" s="9">
        <v>135.21</v>
      </c>
      <c r="H499" s="66">
        <v>3988.6950000000002</v>
      </c>
      <c r="I499" s="9">
        <v>162.21843000000001</v>
      </c>
      <c r="J499" s="10">
        <v>1.1997517195473708</v>
      </c>
      <c r="K499" s="66">
        <v>1426.4580339162417</v>
      </c>
      <c r="L499" s="69">
        <v>5415.1530339162418</v>
      </c>
      <c r="M499" s="64">
        <v>0</v>
      </c>
      <c r="N499" s="67">
        <v>0</v>
      </c>
      <c r="O499" s="64">
        <f t="shared" si="14"/>
        <v>5415.1530339162418</v>
      </c>
      <c r="P499" s="64">
        <f t="shared" si="15"/>
        <v>40.049944781571199</v>
      </c>
    </row>
    <row r="500" spans="1:16" ht="15">
      <c r="A500" s="3" t="s">
        <v>240</v>
      </c>
      <c r="B500" s="3" t="s">
        <v>241</v>
      </c>
      <c r="C500" s="61" t="s">
        <v>3274</v>
      </c>
      <c r="D500" s="3" t="s">
        <v>1684</v>
      </c>
      <c r="E500" s="3">
        <v>1</v>
      </c>
      <c r="F500" s="3" t="s">
        <v>3266</v>
      </c>
      <c r="G500" s="9">
        <v>135.88172299999999</v>
      </c>
      <c r="H500" s="66">
        <v>4008.5108284999997</v>
      </c>
      <c r="I500" s="9">
        <v>189.99009900581001</v>
      </c>
      <c r="J500" s="10">
        <v>1.3982020157766915</v>
      </c>
      <c r="K500" s="66">
        <v>2857.7495121207889</v>
      </c>
      <c r="L500" s="69">
        <v>6866.2603406207891</v>
      </c>
      <c r="M500" s="64">
        <v>0</v>
      </c>
      <c r="N500" s="67">
        <v>0</v>
      </c>
      <c r="O500" s="64">
        <f t="shared" si="14"/>
        <v>6866.2603406207891</v>
      </c>
      <c r="P500" s="64">
        <f t="shared" si="15"/>
        <v>50.531154514583164</v>
      </c>
    </row>
    <row r="501" spans="1:16" ht="15">
      <c r="A501" s="3" t="str">
        <f>"134387"</f>
        <v>134387</v>
      </c>
      <c r="B501" s="3" t="s">
        <v>2760</v>
      </c>
      <c r="C501" s="61" t="s">
        <v>3274</v>
      </c>
      <c r="D501" s="3" t="s">
        <v>3249</v>
      </c>
      <c r="E501" s="3">
        <v>1</v>
      </c>
      <c r="F501" s="3" t="s">
        <v>3220</v>
      </c>
      <c r="G501" s="9">
        <v>140</v>
      </c>
      <c r="H501" s="66">
        <v>4130</v>
      </c>
      <c r="I501" s="9">
        <v>148.1114</v>
      </c>
      <c r="J501" s="10">
        <v>1.0579385714285714</v>
      </c>
      <c r="K501" s="66">
        <v>428.40593460294451</v>
      </c>
      <c r="L501" s="69">
        <v>4558.4059346029444</v>
      </c>
      <c r="M501" s="64">
        <v>0</v>
      </c>
      <c r="N501" s="67">
        <v>0</v>
      </c>
      <c r="O501" s="64">
        <f t="shared" si="14"/>
        <v>4558.4059346029444</v>
      </c>
      <c r="P501" s="64">
        <f t="shared" si="15"/>
        <v>32.560042390021032</v>
      </c>
    </row>
    <row r="502" spans="1:16" ht="15">
      <c r="A502" s="3" t="s">
        <v>237</v>
      </c>
      <c r="B502" s="3" t="s">
        <v>238</v>
      </c>
      <c r="C502" s="61" t="s">
        <v>3274</v>
      </c>
      <c r="D502" s="3" t="s">
        <v>1684</v>
      </c>
      <c r="E502" s="3">
        <v>1</v>
      </c>
      <c r="F502" s="3" t="s">
        <v>3266</v>
      </c>
      <c r="G502" s="9">
        <v>142.11219700000001</v>
      </c>
      <c r="H502" s="66">
        <v>4192.3098115000003</v>
      </c>
      <c r="I502" s="9">
        <v>205.449465260224</v>
      </c>
      <c r="J502" s="10">
        <v>1.4456849559522607</v>
      </c>
      <c r="K502" s="66">
        <v>3345.1761230143579</v>
      </c>
      <c r="L502" s="69">
        <v>7537.4859345143577</v>
      </c>
      <c r="M502" s="64">
        <v>0</v>
      </c>
      <c r="N502" s="67">
        <v>0</v>
      </c>
      <c r="O502" s="64">
        <f t="shared" si="14"/>
        <v>7537.4859345143577</v>
      </c>
      <c r="P502" s="64">
        <f t="shared" si="15"/>
        <v>53.038979719062098</v>
      </c>
    </row>
    <row r="503" spans="1:16" ht="15">
      <c r="A503" s="3" t="s">
        <v>181</v>
      </c>
      <c r="B503" s="3" t="s">
        <v>182</v>
      </c>
      <c r="C503" s="61" t="s">
        <v>3274</v>
      </c>
      <c r="D503" s="3" t="s">
        <v>1684</v>
      </c>
      <c r="E503" s="3">
        <v>1</v>
      </c>
      <c r="F503" s="3" t="s">
        <v>3266</v>
      </c>
      <c r="G503" s="9">
        <v>326.04517700000002</v>
      </c>
      <c r="H503" s="66">
        <v>9618.3327215000008</v>
      </c>
      <c r="I503" s="9">
        <v>452.01886816054201</v>
      </c>
      <c r="J503" s="10">
        <v>1.3863688226265098</v>
      </c>
      <c r="K503" s="66">
        <v>6653.3368958520923</v>
      </c>
      <c r="L503" s="69">
        <v>16271.669617352094</v>
      </c>
      <c r="M503" s="64">
        <v>0</v>
      </c>
      <c r="N503" s="67">
        <v>0</v>
      </c>
      <c r="O503" s="64">
        <f t="shared" si="14"/>
        <v>16271.669617352094</v>
      </c>
      <c r="P503" s="64">
        <f t="shared" si="15"/>
        <v>49.906180999426631</v>
      </c>
    </row>
    <row r="504" spans="1:16" ht="15">
      <c r="A504" s="3" t="s">
        <v>137</v>
      </c>
      <c r="B504" s="3" t="s">
        <v>1784</v>
      </c>
      <c r="C504" s="61" t="s">
        <v>3274</v>
      </c>
      <c r="D504" s="3" t="s">
        <v>1684</v>
      </c>
      <c r="E504" s="3">
        <v>1</v>
      </c>
      <c r="F504" s="3" t="s">
        <v>3266</v>
      </c>
      <c r="G504" s="9">
        <v>340.00445000000002</v>
      </c>
      <c r="H504" s="66">
        <v>10030.131275</v>
      </c>
      <c r="I504" s="9">
        <v>437.95803519451601</v>
      </c>
      <c r="J504" s="10">
        <v>1.2880950093286014</v>
      </c>
      <c r="K504" s="66">
        <v>5173.4469034896265</v>
      </c>
      <c r="L504" s="69">
        <v>15203.578178489626</v>
      </c>
      <c r="M504" s="64">
        <v>0</v>
      </c>
      <c r="N504" s="67">
        <v>0</v>
      </c>
      <c r="O504" s="64">
        <f t="shared" si="14"/>
        <v>15203.578178489626</v>
      </c>
      <c r="P504" s="64">
        <f t="shared" si="15"/>
        <v>44.715821156133764</v>
      </c>
    </row>
    <row r="505" spans="1:16" ht="15">
      <c r="A505" s="3" t="str">
        <f>"099127"</f>
        <v>099127</v>
      </c>
      <c r="B505" s="3" t="s">
        <v>3087</v>
      </c>
      <c r="C505" s="61" t="s">
        <v>3274</v>
      </c>
      <c r="D505" s="3" t="s">
        <v>3249</v>
      </c>
      <c r="E505" s="3">
        <v>1</v>
      </c>
      <c r="F505" s="3" t="s">
        <v>3220</v>
      </c>
      <c r="G505" s="9">
        <v>20</v>
      </c>
      <c r="H505" s="66">
        <v>590</v>
      </c>
      <c r="I505" s="9">
        <v>20</v>
      </c>
      <c r="J505" s="10">
        <v>1</v>
      </c>
      <c r="K505" s="66">
        <v>0</v>
      </c>
      <c r="L505" s="69">
        <v>590</v>
      </c>
      <c r="M505" s="64">
        <v>0</v>
      </c>
      <c r="N505" s="67">
        <v>0</v>
      </c>
      <c r="O505" s="64">
        <f t="shared" si="14"/>
        <v>590</v>
      </c>
      <c r="P505" s="64">
        <f t="shared" si="15"/>
        <v>29.5</v>
      </c>
    </row>
    <row r="506" spans="1:16" ht="15">
      <c r="A506" s="3" t="str">
        <f>"086546"</f>
        <v>086546</v>
      </c>
      <c r="B506" s="3" t="s">
        <v>2953</v>
      </c>
      <c r="C506" s="61" t="s">
        <v>3274</v>
      </c>
      <c r="D506" s="3" t="s">
        <v>3249</v>
      </c>
      <c r="E506" s="3">
        <v>1</v>
      </c>
      <c r="F506" s="3" t="s">
        <v>3220</v>
      </c>
      <c r="G506" s="9">
        <v>107</v>
      </c>
      <c r="H506" s="66">
        <v>3156.5</v>
      </c>
      <c r="I506" s="9">
        <v>122.6264</v>
      </c>
      <c r="J506" s="10">
        <v>1.1460411214953272</v>
      </c>
      <c r="K506" s="66">
        <v>825.31283088979114</v>
      </c>
      <c r="L506" s="69">
        <v>3981.8128308897913</v>
      </c>
      <c r="M506" s="64">
        <v>0</v>
      </c>
      <c r="N506" s="67">
        <v>0</v>
      </c>
      <c r="O506" s="64">
        <f t="shared" si="14"/>
        <v>3981.8128308897913</v>
      </c>
      <c r="P506" s="64">
        <f t="shared" si="15"/>
        <v>37.213204027007393</v>
      </c>
    </row>
    <row r="507" spans="1:16" ht="15">
      <c r="A507" s="3" t="str">
        <f>"052910"</f>
        <v>052910</v>
      </c>
      <c r="B507" s="3" t="s">
        <v>3147</v>
      </c>
      <c r="C507" s="61" t="s">
        <v>3274</v>
      </c>
      <c r="D507" s="3" t="s">
        <v>3249</v>
      </c>
      <c r="E507" s="3">
        <v>1</v>
      </c>
      <c r="F507" s="3" t="s">
        <v>3220</v>
      </c>
      <c r="G507" s="9">
        <v>1069</v>
      </c>
      <c r="H507" s="66">
        <v>31535.5</v>
      </c>
      <c r="I507" s="9">
        <v>1069</v>
      </c>
      <c r="J507" s="10">
        <v>1</v>
      </c>
      <c r="K507" s="66">
        <v>0</v>
      </c>
      <c r="L507" s="69">
        <v>31535.5</v>
      </c>
      <c r="M507" s="64">
        <v>0</v>
      </c>
      <c r="N507" s="67">
        <v>0</v>
      </c>
      <c r="O507" s="64">
        <f t="shared" si="14"/>
        <v>31535.5</v>
      </c>
      <c r="P507" s="64">
        <f t="shared" si="15"/>
        <v>29.5</v>
      </c>
    </row>
    <row r="508" spans="1:16" ht="15">
      <c r="A508" s="3" t="str">
        <f>"000468"</f>
        <v>000468</v>
      </c>
      <c r="B508" s="3" t="s">
        <v>2621</v>
      </c>
      <c r="C508" s="61" t="s">
        <v>3274</v>
      </c>
      <c r="D508" s="3" t="s">
        <v>3249</v>
      </c>
      <c r="E508" s="3">
        <v>1</v>
      </c>
      <c r="F508" s="3" t="s">
        <v>3220</v>
      </c>
      <c r="G508" s="9">
        <v>159</v>
      </c>
      <c r="H508" s="66">
        <v>4690.5</v>
      </c>
      <c r="I508" s="9">
        <v>169.1</v>
      </c>
      <c r="J508" s="10">
        <v>1.0635220125786162</v>
      </c>
      <c r="K508" s="66">
        <v>533.434418163293</v>
      </c>
      <c r="L508" s="69">
        <v>5223.9344181632932</v>
      </c>
      <c r="M508" s="64">
        <v>0</v>
      </c>
      <c r="N508" s="67">
        <v>0</v>
      </c>
      <c r="O508" s="64">
        <f t="shared" si="14"/>
        <v>5223.9344181632932</v>
      </c>
      <c r="P508" s="64">
        <f t="shared" si="15"/>
        <v>32.85493344756788</v>
      </c>
    </row>
    <row r="509" spans="1:16" ht="15">
      <c r="A509" s="3" t="s">
        <v>64</v>
      </c>
      <c r="B509" s="3" t="s">
        <v>65</v>
      </c>
      <c r="C509" s="61" t="s">
        <v>3274</v>
      </c>
      <c r="D509" s="3" t="s">
        <v>1684</v>
      </c>
      <c r="E509" s="3">
        <v>1</v>
      </c>
      <c r="F509" s="3" t="s">
        <v>3266</v>
      </c>
      <c r="G509" s="9">
        <v>568.80248500000005</v>
      </c>
      <c r="H509" s="66">
        <v>16779.673307500001</v>
      </c>
      <c r="I509" s="9">
        <v>733.04362072277297</v>
      </c>
      <c r="J509" s="10">
        <v>1.2887489771124556</v>
      </c>
      <c r="K509" s="66">
        <v>8674.4430369065212</v>
      </c>
      <c r="L509" s="69">
        <v>25454.116344406524</v>
      </c>
      <c r="M509" s="64">
        <v>0</v>
      </c>
      <c r="N509" s="67">
        <v>0</v>
      </c>
      <c r="O509" s="64">
        <f t="shared" si="14"/>
        <v>25454.116344406524</v>
      </c>
      <c r="P509" s="64">
        <f t="shared" si="15"/>
        <v>44.750360653587023</v>
      </c>
    </row>
    <row r="510" spans="1:16" ht="15">
      <c r="A510" s="3" t="s">
        <v>195</v>
      </c>
      <c r="B510" s="3" t="s">
        <v>196</v>
      </c>
      <c r="C510" s="61" t="s">
        <v>3274</v>
      </c>
      <c r="D510" s="3" t="s">
        <v>1684</v>
      </c>
      <c r="E510" s="3">
        <v>1</v>
      </c>
      <c r="F510" s="3" t="s">
        <v>3266</v>
      </c>
      <c r="G510" s="9">
        <v>296.35630500000002</v>
      </c>
      <c r="H510" s="66">
        <v>8742.5109975000014</v>
      </c>
      <c r="I510" s="9">
        <v>434.62800693421201</v>
      </c>
      <c r="J510" s="10">
        <v>1.4665724993912714</v>
      </c>
      <c r="K510" s="66">
        <v>7302.8598880915542</v>
      </c>
      <c r="L510" s="69">
        <v>16045.370885591556</v>
      </c>
      <c r="M510" s="64">
        <v>0</v>
      </c>
      <c r="N510" s="67">
        <v>0</v>
      </c>
      <c r="O510" s="64">
        <f t="shared" si="14"/>
        <v>16045.370885591556</v>
      </c>
      <c r="P510" s="64">
        <f t="shared" si="15"/>
        <v>54.142161360769954</v>
      </c>
    </row>
    <row r="511" spans="1:16" ht="15">
      <c r="A511" s="3" t="s">
        <v>605</v>
      </c>
      <c r="B511" s="3" t="s">
        <v>1727</v>
      </c>
      <c r="C511" s="61" t="s">
        <v>3274</v>
      </c>
      <c r="D511" s="3" t="s">
        <v>3248</v>
      </c>
      <c r="E511" s="3">
        <v>1</v>
      </c>
      <c r="F511" s="3" t="s">
        <v>1908</v>
      </c>
      <c r="G511" s="9">
        <v>48926.242498</v>
      </c>
      <c r="H511" s="66">
        <v>1443324.1536910001</v>
      </c>
      <c r="I511" s="9">
        <v>71965.729877615493</v>
      </c>
      <c r="J511" s="10">
        <v>1.470902448324277</v>
      </c>
      <c r="K511" s="66">
        <v>1216837.1826857158</v>
      </c>
      <c r="L511" s="69">
        <v>2660161.3363767159</v>
      </c>
      <c r="M511" s="64">
        <v>57281581.494708814</v>
      </c>
      <c r="N511" s="67">
        <v>1148169.3002959334</v>
      </c>
      <c r="O511" s="64">
        <f t="shared" si="14"/>
        <v>3808330.6366726495</v>
      </c>
      <c r="P511" s="64">
        <f t="shared" si="15"/>
        <v>77.838199751970038</v>
      </c>
    </row>
    <row r="512" spans="1:16" ht="15">
      <c r="A512" s="3" t="s">
        <v>157</v>
      </c>
      <c r="B512" s="3" t="s">
        <v>158</v>
      </c>
      <c r="C512" s="61" t="s">
        <v>3274</v>
      </c>
      <c r="D512" s="3" t="s">
        <v>1684</v>
      </c>
      <c r="E512" s="3">
        <v>1</v>
      </c>
      <c r="F512" s="3" t="s">
        <v>3266</v>
      </c>
      <c r="G512" s="9">
        <v>237.35503</v>
      </c>
      <c r="H512" s="66">
        <v>7001.9733850000002</v>
      </c>
      <c r="I512" s="9">
        <v>324.56136400451197</v>
      </c>
      <c r="J512" s="10">
        <v>1.3674088305797099</v>
      </c>
      <c r="K512" s="66">
        <v>4605.8277267178883</v>
      </c>
      <c r="L512" s="69">
        <v>11607.801111717888</v>
      </c>
      <c r="M512" s="64">
        <v>0</v>
      </c>
      <c r="N512" s="67">
        <v>0</v>
      </c>
      <c r="O512" s="64">
        <f t="shared" si="14"/>
        <v>11607.801111717888</v>
      </c>
      <c r="P512" s="64">
        <f t="shared" si="15"/>
        <v>48.904803541420158</v>
      </c>
    </row>
    <row r="513" spans="1:16" ht="15">
      <c r="A513" s="3" t="s">
        <v>266</v>
      </c>
      <c r="B513" s="3" t="s">
        <v>267</v>
      </c>
      <c r="C513" s="61" t="s">
        <v>3274</v>
      </c>
      <c r="D513" s="3" t="s">
        <v>1684</v>
      </c>
      <c r="E513" s="3">
        <v>1</v>
      </c>
      <c r="F513" s="3" t="s">
        <v>3266</v>
      </c>
      <c r="G513" s="9">
        <v>239.976328</v>
      </c>
      <c r="H513" s="66">
        <v>7079.301676</v>
      </c>
      <c r="I513" s="9">
        <v>329.53983949171101</v>
      </c>
      <c r="J513" s="10">
        <v>1.3732181096283422</v>
      </c>
      <c r="K513" s="66">
        <v>4730.3227367566633</v>
      </c>
      <c r="L513" s="69">
        <v>11809.624412756664</v>
      </c>
      <c r="M513" s="64">
        <v>0</v>
      </c>
      <c r="N513" s="67">
        <v>0</v>
      </c>
      <c r="O513" s="64">
        <f t="shared" si="14"/>
        <v>11809.624412756664</v>
      </c>
      <c r="P513" s="64">
        <f t="shared" si="15"/>
        <v>49.211622292831585</v>
      </c>
    </row>
    <row r="514" spans="1:16" ht="15">
      <c r="A514" s="3" t="s">
        <v>61</v>
      </c>
      <c r="B514" s="3" t="s">
        <v>1770</v>
      </c>
      <c r="C514" s="61" t="s">
        <v>3274</v>
      </c>
      <c r="D514" s="3" t="s">
        <v>1684</v>
      </c>
      <c r="E514" s="3">
        <v>1</v>
      </c>
      <c r="F514" s="3" t="s">
        <v>3266</v>
      </c>
      <c r="G514" s="9">
        <v>559.96551899999997</v>
      </c>
      <c r="H514" s="66">
        <v>16518.982810499998</v>
      </c>
      <c r="I514" s="9">
        <v>750.33049095583203</v>
      </c>
      <c r="J514" s="10">
        <v>1.3399583822514474</v>
      </c>
      <c r="K514" s="66">
        <v>10054.180995438706</v>
      </c>
      <c r="L514" s="69">
        <v>26573.163805938704</v>
      </c>
      <c r="M514" s="64">
        <v>0</v>
      </c>
      <c r="N514" s="67">
        <v>0</v>
      </c>
      <c r="O514" s="64">
        <f t="shared" si="14"/>
        <v>26573.163805938704</v>
      </c>
      <c r="P514" s="64">
        <f t="shared" si="15"/>
        <v>47.455000181785664</v>
      </c>
    </row>
    <row r="515" spans="1:16" ht="15">
      <c r="A515" s="3" t="str">
        <f>"132316"</f>
        <v>132316</v>
      </c>
      <c r="B515" s="3" t="s">
        <v>2705</v>
      </c>
      <c r="C515" s="61" t="s">
        <v>3274</v>
      </c>
      <c r="D515" s="3" t="s">
        <v>3249</v>
      </c>
      <c r="E515" s="3">
        <v>1</v>
      </c>
      <c r="F515" s="3" t="s">
        <v>3220</v>
      </c>
      <c r="G515" s="9">
        <v>59</v>
      </c>
      <c r="H515" s="66">
        <v>1740.5</v>
      </c>
      <c r="I515" s="9">
        <v>64.161799999999999</v>
      </c>
      <c r="J515" s="10">
        <v>1.0874881355932204</v>
      </c>
      <c r="K515" s="66">
        <v>272.62195838369183</v>
      </c>
      <c r="L515" s="69">
        <v>2013.1219583836919</v>
      </c>
      <c r="M515" s="64">
        <v>0</v>
      </c>
      <c r="N515" s="67">
        <v>0</v>
      </c>
      <c r="O515" s="64">
        <f t="shared" ref="O515:O578" si="16">(N515+L515)</f>
        <v>2013.1219583836919</v>
      </c>
      <c r="P515" s="64">
        <f t="shared" ref="P515:P578" si="17">O515/G515</f>
        <v>34.120711159045626</v>
      </c>
    </row>
    <row r="516" spans="1:16" ht="15">
      <c r="A516" s="3" t="str">
        <f>"097279"</f>
        <v>097279</v>
      </c>
      <c r="B516" s="3" t="s">
        <v>3000</v>
      </c>
      <c r="C516" s="61" t="s">
        <v>3274</v>
      </c>
      <c r="D516" s="3" t="s">
        <v>3249</v>
      </c>
      <c r="E516" s="3">
        <v>1</v>
      </c>
      <c r="F516" s="3" t="s">
        <v>3220</v>
      </c>
      <c r="G516" s="9">
        <v>136</v>
      </c>
      <c r="H516" s="66">
        <v>4012</v>
      </c>
      <c r="I516" s="9">
        <v>146.9682</v>
      </c>
      <c r="J516" s="10">
        <v>1.0806485294117647</v>
      </c>
      <c r="K516" s="66">
        <v>579.28865200976554</v>
      </c>
      <c r="L516" s="69">
        <v>4591.2886520097654</v>
      </c>
      <c r="M516" s="64">
        <v>0</v>
      </c>
      <c r="N516" s="67">
        <v>0</v>
      </c>
      <c r="O516" s="64">
        <f t="shared" si="16"/>
        <v>4591.2886520097654</v>
      </c>
      <c r="P516" s="64">
        <f t="shared" si="17"/>
        <v>33.759475382424746</v>
      </c>
    </row>
    <row r="517" spans="1:16" ht="15">
      <c r="A517" s="3" t="s">
        <v>220</v>
      </c>
      <c r="B517" s="3" t="s">
        <v>221</v>
      </c>
      <c r="C517" s="61" t="s">
        <v>3274</v>
      </c>
      <c r="D517" s="3" t="s">
        <v>1684</v>
      </c>
      <c r="E517" s="3">
        <v>1</v>
      </c>
      <c r="F517" s="3" t="s">
        <v>3266</v>
      </c>
      <c r="G517" s="9">
        <v>193.343377</v>
      </c>
      <c r="H517" s="66">
        <v>5703.6296215000002</v>
      </c>
      <c r="I517" s="9">
        <v>285.30861827663898</v>
      </c>
      <c r="J517" s="10">
        <v>1.4756575720545058</v>
      </c>
      <c r="K517" s="66">
        <v>4857.1707892723571</v>
      </c>
      <c r="L517" s="69">
        <v>10560.800410772357</v>
      </c>
      <c r="M517" s="64">
        <v>0</v>
      </c>
      <c r="N517" s="67">
        <v>0</v>
      </c>
      <c r="O517" s="64">
        <f t="shared" si="16"/>
        <v>10560.800410772357</v>
      </c>
      <c r="P517" s="64">
        <f t="shared" si="17"/>
        <v>54.621992098401989</v>
      </c>
    </row>
    <row r="518" spans="1:16" ht="15">
      <c r="A518" s="3" t="s">
        <v>66</v>
      </c>
      <c r="B518" s="3" t="s">
        <v>67</v>
      </c>
      <c r="C518" s="61" t="s">
        <v>3274</v>
      </c>
      <c r="D518" s="3" t="s">
        <v>1684</v>
      </c>
      <c r="E518" s="3">
        <v>1</v>
      </c>
      <c r="F518" s="3" t="s">
        <v>3266</v>
      </c>
      <c r="G518" s="9">
        <v>810.29536900000005</v>
      </c>
      <c r="H518" s="66">
        <v>23903.713385500003</v>
      </c>
      <c r="I518" s="9">
        <v>873.33496152713496</v>
      </c>
      <c r="J518" s="10">
        <v>1.0777982880550498</v>
      </c>
      <c r="K518" s="66">
        <v>3329.4542931646838</v>
      </c>
      <c r="L518" s="69">
        <v>27233.167678664686</v>
      </c>
      <c r="M518" s="64">
        <v>0</v>
      </c>
      <c r="N518" s="67">
        <v>0</v>
      </c>
      <c r="O518" s="64">
        <f t="shared" si="16"/>
        <v>27233.167678664686</v>
      </c>
      <c r="P518" s="64">
        <f t="shared" si="17"/>
        <v>33.608939061657999</v>
      </c>
    </row>
    <row r="519" spans="1:16" ht="15">
      <c r="A519" s="3" t="s">
        <v>133</v>
      </c>
      <c r="B519" s="3" t="s">
        <v>1780</v>
      </c>
      <c r="C519" s="61" t="s">
        <v>3274</v>
      </c>
      <c r="D519" s="3" t="s">
        <v>1684</v>
      </c>
      <c r="E519" s="3">
        <v>1</v>
      </c>
      <c r="F519" s="3" t="s">
        <v>3266</v>
      </c>
      <c r="G519" s="9">
        <v>418.94578100000001</v>
      </c>
      <c r="H519" s="66">
        <v>12358.9005395</v>
      </c>
      <c r="I519" s="9">
        <v>635.23517833362598</v>
      </c>
      <c r="J519" s="10">
        <v>1.5162706181629406</v>
      </c>
      <c r="K519" s="66">
        <v>11423.387012034866</v>
      </c>
      <c r="L519" s="69">
        <v>23782.287551534864</v>
      </c>
      <c r="M519" s="64">
        <v>0</v>
      </c>
      <c r="N519" s="67">
        <v>0</v>
      </c>
      <c r="O519" s="64">
        <f t="shared" si="16"/>
        <v>23782.287551534864</v>
      </c>
      <c r="P519" s="64">
        <f t="shared" si="17"/>
        <v>56.766981862826931</v>
      </c>
    </row>
    <row r="520" spans="1:16" ht="15">
      <c r="A520" s="3" t="str">
        <f>"052928"</f>
        <v>052928</v>
      </c>
      <c r="B520" s="3" t="s">
        <v>3146</v>
      </c>
      <c r="C520" s="61" t="s">
        <v>3274</v>
      </c>
      <c r="D520" s="3" t="s">
        <v>3249</v>
      </c>
      <c r="E520" s="3">
        <v>1</v>
      </c>
      <c r="F520" s="3" t="s">
        <v>3220</v>
      </c>
      <c r="G520" s="9">
        <v>504</v>
      </c>
      <c r="H520" s="66">
        <v>14868</v>
      </c>
      <c r="I520" s="9">
        <v>504</v>
      </c>
      <c r="J520" s="10">
        <v>1</v>
      </c>
      <c r="K520" s="66">
        <v>0</v>
      </c>
      <c r="L520" s="69">
        <v>14868</v>
      </c>
      <c r="M520" s="64">
        <v>0</v>
      </c>
      <c r="N520" s="67">
        <v>0</v>
      </c>
      <c r="O520" s="64">
        <f t="shared" si="16"/>
        <v>14868</v>
      </c>
      <c r="P520" s="64">
        <f t="shared" si="17"/>
        <v>29.5</v>
      </c>
    </row>
    <row r="521" spans="1:16" ht="15">
      <c r="A521" s="3" t="str">
        <f>"062620"</f>
        <v>062620</v>
      </c>
      <c r="B521" s="3" t="s">
        <v>2961</v>
      </c>
      <c r="C521" s="61" t="s">
        <v>3274</v>
      </c>
      <c r="D521" s="3" t="s">
        <v>3249</v>
      </c>
      <c r="E521" s="3">
        <v>1</v>
      </c>
      <c r="F521" s="3" t="s">
        <v>3220</v>
      </c>
      <c r="G521" s="9">
        <v>212</v>
      </c>
      <c r="H521" s="66">
        <v>6254</v>
      </c>
      <c r="I521" s="9">
        <v>253.239</v>
      </c>
      <c r="J521" s="10">
        <v>1.1945235849056604</v>
      </c>
      <c r="K521" s="66">
        <v>2178.0497000629762</v>
      </c>
      <c r="L521" s="69">
        <v>8432.0497000629766</v>
      </c>
      <c r="M521" s="64">
        <v>0</v>
      </c>
      <c r="N521" s="67">
        <v>0</v>
      </c>
      <c r="O521" s="64">
        <f t="shared" si="16"/>
        <v>8432.0497000629766</v>
      </c>
      <c r="P521" s="64">
        <f t="shared" si="17"/>
        <v>39.773819339919704</v>
      </c>
    </row>
    <row r="522" spans="1:16" ht="15">
      <c r="A522" s="3" t="s">
        <v>359</v>
      </c>
      <c r="B522" s="3" t="s">
        <v>360</v>
      </c>
      <c r="C522" s="61" t="s">
        <v>3274</v>
      </c>
      <c r="D522" s="3" t="s">
        <v>1684</v>
      </c>
      <c r="E522" s="3">
        <v>1</v>
      </c>
      <c r="F522" s="3" t="s">
        <v>3266</v>
      </c>
      <c r="G522" s="9">
        <v>794.40463199999999</v>
      </c>
      <c r="H522" s="66">
        <v>23434.936644000001</v>
      </c>
      <c r="I522" s="9">
        <v>938.64445563458298</v>
      </c>
      <c r="J522" s="10">
        <v>1.1815697162684506</v>
      </c>
      <c r="K522" s="66">
        <v>7618.0679600484982</v>
      </c>
      <c r="L522" s="69">
        <v>31053.004604048499</v>
      </c>
      <c r="M522" s="64">
        <v>0</v>
      </c>
      <c r="N522" s="67">
        <v>0</v>
      </c>
      <c r="O522" s="64">
        <f t="shared" si="16"/>
        <v>31053.004604048499</v>
      </c>
      <c r="P522" s="64">
        <f t="shared" si="17"/>
        <v>39.089657025122307</v>
      </c>
    </row>
    <row r="523" spans="1:16" ht="15">
      <c r="A523" s="3" t="str">
        <f>"014040"</f>
        <v>014040</v>
      </c>
      <c r="B523" s="3" t="s">
        <v>2988</v>
      </c>
      <c r="C523" s="61" t="s">
        <v>3274</v>
      </c>
      <c r="D523" s="3" t="s">
        <v>3249</v>
      </c>
      <c r="E523" s="3">
        <v>1</v>
      </c>
      <c r="F523" s="3" t="s">
        <v>3220</v>
      </c>
      <c r="G523" s="9">
        <v>407</v>
      </c>
      <c r="H523" s="66">
        <v>12006.5</v>
      </c>
      <c r="I523" s="9">
        <v>431.89659999999998</v>
      </c>
      <c r="J523" s="10">
        <v>1.0611710073710072</v>
      </c>
      <c r="K523" s="66">
        <v>1314.9211223014097</v>
      </c>
      <c r="L523" s="69">
        <v>13321.42112230141</v>
      </c>
      <c r="M523" s="64">
        <v>0</v>
      </c>
      <c r="N523" s="67">
        <v>0</v>
      </c>
      <c r="O523" s="64">
        <f t="shared" si="16"/>
        <v>13321.42112230141</v>
      </c>
      <c r="P523" s="64">
        <f t="shared" si="17"/>
        <v>32.730764428258993</v>
      </c>
    </row>
    <row r="524" spans="1:16" ht="15">
      <c r="A524" s="3" t="str">
        <f>"123950"</f>
        <v>123950</v>
      </c>
      <c r="B524" s="3" t="s">
        <v>2980</v>
      </c>
      <c r="C524" s="61" t="s">
        <v>3274</v>
      </c>
      <c r="D524" s="3" t="s">
        <v>3249</v>
      </c>
      <c r="E524" s="3">
        <v>1</v>
      </c>
      <c r="F524" s="3" t="s">
        <v>3220</v>
      </c>
      <c r="G524" s="9">
        <v>367</v>
      </c>
      <c r="H524" s="66">
        <v>10826.5</v>
      </c>
      <c r="I524" s="9">
        <v>395.7448</v>
      </c>
      <c r="J524" s="10">
        <v>1.0783237057220709</v>
      </c>
      <c r="K524" s="66">
        <v>1518.1649171505182</v>
      </c>
      <c r="L524" s="69">
        <v>12344.664917150518</v>
      </c>
      <c r="M524" s="64">
        <v>0</v>
      </c>
      <c r="N524" s="67">
        <v>0</v>
      </c>
      <c r="O524" s="64">
        <f t="shared" si="16"/>
        <v>12344.664917150518</v>
      </c>
      <c r="P524" s="64">
        <f t="shared" si="17"/>
        <v>33.636689147549092</v>
      </c>
    </row>
    <row r="525" spans="1:16" ht="15">
      <c r="A525" s="3" t="s">
        <v>1146</v>
      </c>
      <c r="B525" s="3" t="s">
        <v>1147</v>
      </c>
      <c r="C525" s="61" t="s">
        <v>3274</v>
      </c>
      <c r="D525" s="3" t="s">
        <v>3248</v>
      </c>
      <c r="E525" s="3">
        <v>1</v>
      </c>
      <c r="F525" s="3" t="s">
        <v>1907</v>
      </c>
      <c r="G525" s="9">
        <v>15709.460734</v>
      </c>
      <c r="H525" s="66">
        <v>463429.09165299998</v>
      </c>
      <c r="I525" s="9">
        <v>19347.781703945799</v>
      </c>
      <c r="J525" s="10">
        <v>1.2316006278987908</v>
      </c>
      <c r="K525" s="66">
        <v>192158.97323706397</v>
      </c>
      <c r="L525" s="69">
        <v>655588.06489006395</v>
      </c>
      <c r="M525" s="64">
        <v>9040320.8804557901</v>
      </c>
      <c r="N525" s="67">
        <v>181206.9190289804</v>
      </c>
      <c r="O525" s="64">
        <f t="shared" si="16"/>
        <v>836794.98391904437</v>
      </c>
      <c r="P525" s="64">
        <f t="shared" si="17"/>
        <v>53.26694519233039</v>
      </c>
    </row>
    <row r="526" spans="1:16" ht="15">
      <c r="A526" s="3" t="str">
        <f>"143032"</f>
        <v>143032</v>
      </c>
      <c r="B526" s="3" t="s">
        <v>2560</v>
      </c>
      <c r="C526" s="61" t="s">
        <v>3274</v>
      </c>
      <c r="D526" s="3" t="s">
        <v>3249</v>
      </c>
      <c r="E526" s="3">
        <v>1</v>
      </c>
      <c r="F526" s="3" t="s">
        <v>3220</v>
      </c>
      <c r="G526" s="9">
        <v>17</v>
      </c>
      <c r="H526" s="66">
        <v>501.5</v>
      </c>
      <c r="I526" s="9">
        <v>17</v>
      </c>
      <c r="J526" s="10">
        <v>1</v>
      </c>
      <c r="K526" s="66">
        <v>0</v>
      </c>
      <c r="L526" s="69">
        <v>501.5</v>
      </c>
      <c r="M526" s="64">
        <v>0</v>
      </c>
      <c r="N526" s="67">
        <v>0</v>
      </c>
      <c r="O526" s="64">
        <f t="shared" si="16"/>
        <v>501.5</v>
      </c>
      <c r="P526" s="64">
        <f t="shared" si="17"/>
        <v>29.5</v>
      </c>
    </row>
    <row r="527" spans="1:16" ht="15">
      <c r="A527" s="3" t="s">
        <v>125</v>
      </c>
      <c r="B527" s="3" t="s">
        <v>126</v>
      </c>
      <c r="C527" s="61" t="s">
        <v>3274</v>
      </c>
      <c r="D527" s="3" t="s">
        <v>1684</v>
      </c>
      <c r="E527" s="3">
        <v>1</v>
      </c>
      <c r="F527" s="3" t="s">
        <v>3266</v>
      </c>
      <c r="G527" s="9">
        <v>160.51786000000001</v>
      </c>
      <c r="H527" s="66">
        <v>4735.2768700000006</v>
      </c>
      <c r="I527" s="9">
        <v>202.61266514131199</v>
      </c>
      <c r="J527" s="10">
        <v>1.262243747464064</v>
      </c>
      <c r="K527" s="66">
        <v>2223.2492958666303</v>
      </c>
      <c r="L527" s="69">
        <v>6958.5261658666313</v>
      </c>
      <c r="M527" s="64">
        <v>0</v>
      </c>
      <c r="N527" s="67">
        <v>0</v>
      </c>
      <c r="O527" s="64">
        <f t="shared" si="16"/>
        <v>6958.5261658666313</v>
      </c>
      <c r="P527" s="64">
        <f t="shared" si="17"/>
        <v>43.350479291629171</v>
      </c>
    </row>
    <row r="528" spans="1:16" ht="15">
      <c r="A528" s="3" t="s">
        <v>129</v>
      </c>
      <c r="B528" s="3" t="s">
        <v>1778</v>
      </c>
      <c r="C528" s="61" t="s">
        <v>3274</v>
      </c>
      <c r="D528" s="3" t="s">
        <v>1684</v>
      </c>
      <c r="E528" s="3">
        <v>1</v>
      </c>
      <c r="F528" s="3" t="s">
        <v>3266</v>
      </c>
      <c r="G528" s="9">
        <v>62.691332000000003</v>
      </c>
      <c r="H528" s="66">
        <v>1849.3942940000002</v>
      </c>
      <c r="I528" s="9">
        <v>90.536965774651406</v>
      </c>
      <c r="J528" s="10">
        <v>1.4441703962303976</v>
      </c>
      <c r="K528" s="66">
        <v>1470.6751931652793</v>
      </c>
      <c r="L528" s="69">
        <v>3320.0694871652795</v>
      </c>
      <c r="M528" s="64">
        <v>0</v>
      </c>
      <c r="N528" s="67">
        <v>0</v>
      </c>
      <c r="O528" s="64">
        <f t="shared" si="16"/>
        <v>3320.0694871652795</v>
      </c>
      <c r="P528" s="64">
        <f t="shared" si="17"/>
        <v>52.958987809754618</v>
      </c>
    </row>
    <row r="529" spans="1:16" ht="15">
      <c r="A529" s="3" t="s">
        <v>301</v>
      </c>
      <c r="B529" s="3" t="s">
        <v>1811</v>
      </c>
      <c r="C529" s="61" t="s">
        <v>3274</v>
      </c>
      <c r="D529" s="3" t="s">
        <v>1684</v>
      </c>
      <c r="E529" s="3">
        <v>1</v>
      </c>
      <c r="F529" s="3" t="s">
        <v>3266</v>
      </c>
      <c r="G529" s="9">
        <v>253.659852</v>
      </c>
      <c r="H529" s="66">
        <v>7482.9656340000001</v>
      </c>
      <c r="I529" s="9">
        <v>334.36388122816498</v>
      </c>
      <c r="J529" s="10">
        <v>1.3181584653300396</v>
      </c>
      <c r="K529" s="66">
        <v>4262.4066212633279</v>
      </c>
      <c r="L529" s="69">
        <v>11745.372255263328</v>
      </c>
      <c r="M529" s="64">
        <v>0</v>
      </c>
      <c r="N529" s="67">
        <v>0</v>
      </c>
      <c r="O529" s="64">
        <f t="shared" si="16"/>
        <v>11745.372255263328</v>
      </c>
      <c r="P529" s="64">
        <f t="shared" si="17"/>
        <v>46.303631270995645</v>
      </c>
    </row>
    <row r="530" spans="1:16" ht="15">
      <c r="A530" s="3" t="s">
        <v>474</v>
      </c>
      <c r="B530" s="3" t="s">
        <v>475</v>
      </c>
      <c r="C530" s="61" t="s">
        <v>3274</v>
      </c>
      <c r="D530" s="3" t="s">
        <v>456</v>
      </c>
      <c r="E530" s="3">
        <v>1</v>
      </c>
      <c r="F530" s="3" t="s">
        <v>1897</v>
      </c>
      <c r="G530" s="9">
        <v>1093.6206549999999</v>
      </c>
      <c r="H530" s="66">
        <v>32261.809322499998</v>
      </c>
      <c r="I530" s="9">
        <v>1317.7085264847001</v>
      </c>
      <c r="J530" s="10">
        <v>1.2049045713064921</v>
      </c>
      <c r="K530" s="66">
        <v>11835.265677514048</v>
      </c>
      <c r="L530" s="69">
        <v>44097.075000014047</v>
      </c>
      <c r="M530" s="64">
        <v>0</v>
      </c>
      <c r="N530" s="67">
        <v>0</v>
      </c>
      <c r="O530" s="64">
        <f t="shared" si="16"/>
        <v>44097.075000014047</v>
      </c>
      <c r="P530" s="64">
        <f t="shared" si="17"/>
        <v>40.322094136027495</v>
      </c>
    </row>
    <row r="531" spans="1:16" ht="15">
      <c r="A531" s="3" t="str">
        <f>"070276"</f>
        <v>070276</v>
      </c>
      <c r="B531" s="3" t="s">
        <v>2992</v>
      </c>
      <c r="C531" s="61" t="s">
        <v>3274</v>
      </c>
      <c r="D531" s="3" t="s">
        <v>3249</v>
      </c>
      <c r="E531" s="3">
        <v>1</v>
      </c>
      <c r="F531" s="3" t="s">
        <v>3220</v>
      </c>
      <c r="G531" s="9">
        <v>81</v>
      </c>
      <c r="H531" s="66">
        <v>2389.5</v>
      </c>
      <c r="I531" s="9">
        <v>86.252600000000001</v>
      </c>
      <c r="J531" s="10">
        <v>1.064846913580247</v>
      </c>
      <c r="K531" s="66">
        <v>277.41758661826884</v>
      </c>
      <c r="L531" s="69">
        <v>2666.9175866182686</v>
      </c>
      <c r="M531" s="64">
        <v>0</v>
      </c>
      <c r="N531" s="67">
        <v>0</v>
      </c>
      <c r="O531" s="64">
        <f t="shared" si="16"/>
        <v>2666.9175866182686</v>
      </c>
      <c r="P531" s="64">
        <f t="shared" si="17"/>
        <v>32.924908476768749</v>
      </c>
    </row>
    <row r="532" spans="1:16" ht="15">
      <c r="A532" s="3" t="s">
        <v>104</v>
      </c>
      <c r="B532" s="3" t="s">
        <v>1775</v>
      </c>
      <c r="C532" s="61" t="s">
        <v>3274</v>
      </c>
      <c r="D532" s="3" t="s">
        <v>1684</v>
      </c>
      <c r="E532" s="3">
        <v>1</v>
      </c>
      <c r="F532" s="3" t="s">
        <v>3266</v>
      </c>
      <c r="G532" s="9">
        <v>129.289772</v>
      </c>
      <c r="H532" s="66">
        <v>3814.0482739999998</v>
      </c>
      <c r="I532" s="9">
        <v>179.81640680898499</v>
      </c>
      <c r="J532" s="10">
        <v>1.3908014843508656</v>
      </c>
      <c r="K532" s="66">
        <v>2668.5788159485264</v>
      </c>
      <c r="L532" s="69">
        <v>6482.6270899485262</v>
      </c>
      <c r="M532" s="64">
        <v>0</v>
      </c>
      <c r="N532" s="67">
        <v>0</v>
      </c>
      <c r="O532" s="64">
        <f t="shared" si="16"/>
        <v>6482.6270899485262</v>
      </c>
      <c r="P532" s="64">
        <f t="shared" si="17"/>
        <v>50.140293309114398</v>
      </c>
    </row>
    <row r="533" spans="1:16" ht="15">
      <c r="A533" s="3" t="s">
        <v>209</v>
      </c>
      <c r="B533" s="3" t="s">
        <v>210</v>
      </c>
      <c r="C533" s="61" t="s">
        <v>3274</v>
      </c>
      <c r="D533" s="3" t="s">
        <v>1684</v>
      </c>
      <c r="E533" s="3">
        <v>1</v>
      </c>
      <c r="F533" s="3" t="s">
        <v>3266</v>
      </c>
      <c r="G533" s="9">
        <v>52.310594999999999</v>
      </c>
      <c r="H533" s="66">
        <v>1543.1625524999999</v>
      </c>
      <c r="I533" s="9">
        <v>61.364190703496803</v>
      </c>
      <c r="J533" s="10">
        <v>1.1730738429470513</v>
      </c>
      <c r="K533" s="66">
        <v>478.16827290896134</v>
      </c>
      <c r="L533" s="69">
        <v>2021.3308254089613</v>
      </c>
      <c r="M533" s="64">
        <v>0</v>
      </c>
      <c r="N533" s="67">
        <v>0</v>
      </c>
      <c r="O533" s="64">
        <f t="shared" si="16"/>
        <v>2021.3308254089613</v>
      </c>
      <c r="P533" s="64">
        <f t="shared" si="17"/>
        <v>38.640945020964899</v>
      </c>
    </row>
    <row r="534" spans="1:16" ht="15">
      <c r="A534" s="3" t="s">
        <v>1688</v>
      </c>
      <c r="B534" s="3" t="s">
        <v>1689</v>
      </c>
      <c r="C534" s="61" t="s">
        <v>3274</v>
      </c>
      <c r="D534" s="3" t="s">
        <v>1684</v>
      </c>
      <c r="E534" s="3">
        <v>1</v>
      </c>
      <c r="F534" s="3" t="s">
        <v>3266</v>
      </c>
      <c r="G534" s="9">
        <v>236.6825</v>
      </c>
      <c r="H534" s="66">
        <v>6982.13375</v>
      </c>
      <c r="I534" s="9">
        <v>365.39413418526698</v>
      </c>
      <c r="J534" s="10">
        <v>1.5438155934015696</v>
      </c>
      <c r="K534" s="66">
        <v>6797.9421477687665</v>
      </c>
      <c r="L534" s="69">
        <v>13780.075897768766</v>
      </c>
      <c r="M534" s="64">
        <v>0</v>
      </c>
      <c r="N534" s="67">
        <v>0</v>
      </c>
      <c r="O534" s="64">
        <f t="shared" si="16"/>
        <v>13780.075897768766</v>
      </c>
      <c r="P534" s="64">
        <f t="shared" si="17"/>
        <v>58.221777688543789</v>
      </c>
    </row>
    <row r="535" spans="1:16" ht="15">
      <c r="A535" s="3" t="s">
        <v>409</v>
      </c>
      <c r="B535" s="3" t="s">
        <v>1840</v>
      </c>
      <c r="C535" s="61" t="s">
        <v>3274</v>
      </c>
      <c r="D535" s="3" t="s">
        <v>1684</v>
      </c>
      <c r="E535" s="3">
        <v>1</v>
      </c>
      <c r="F535" s="3" t="s">
        <v>3266</v>
      </c>
      <c r="G535" s="9">
        <v>481.97449999999998</v>
      </c>
      <c r="H535" s="66">
        <v>14218.247749999999</v>
      </c>
      <c r="I535" s="9">
        <v>666.72152232323197</v>
      </c>
      <c r="J535" s="10">
        <v>1.3833128564337573</v>
      </c>
      <c r="K535" s="66">
        <v>9757.4673624152711</v>
      </c>
      <c r="L535" s="69">
        <v>23975.71511241527</v>
      </c>
      <c r="M535" s="64">
        <v>230347.09</v>
      </c>
      <c r="N535" s="67">
        <v>4617.1465635063623</v>
      </c>
      <c r="O535" s="64">
        <f t="shared" si="16"/>
        <v>28592.861675921631</v>
      </c>
      <c r="P535" s="64">
        <f t="shared" si="17"/>
        <v>59.324428317103148</v>
      </c>
    </row>
    <row r="536" spans="1:16" ht="15">
      <c r="A536" s="3" t="s">
        <v>408</v>
      </c>
      <c r="B536" s="3" t="s">
        <v>1839</v>
      </c>
      <c r="C536" s="61" t="s">
        <v>3274</v>
      </c>
      <c r="D536" s="3" t="s">
        <v>1684</v>
      </c>
      <c r="E536" s="3">
        <v>1</v>
      </c>
      <c r="F536" s="3" t="s">
        <v>3266</v>
      </c>
      <c r="G536" s="9">
        <v>219.52598499999999</v>
      </c>
      <c r="H536" s="66">
        <v>6476.0165575000001</v>
      </c>
      <c r="I536" s="9">
        <v>318.88980022235199</v>
      </c>
      <c r="J536" s="10">
        <v>1.4526289460555297</v>
      </c>
      <c r="K536" s="66">
        <v>5247.9286098633993</v>
      </c>
      <c r="L536" s="69">
        <v>11723.945167363399</v>
      </c>
      <c r="M536" s="64">
        <v>0</v>
      </c>
      <c r="N536" s="67">
        <v>0</v>
      </c>
      <c r="O536" s="64">
        <f t="shared" si="16"/>
        <v>11723.945167363399</v>
      </c>
      <c r="P536" s="64">
        <f t="shared" si="17"/>
        <v>53.405728562672884</v>
      </c>
    </row>
    <row r="537" spans="1:16" ht="15">
      <c r="A537" s="3" t="s">
        <v>407</v>
      </c>
      <c r="B537" s="3" t="s">
        <v>1838</v>
      </c>
      <c r="C537" s="61" t="s">
        <v>3274</v>
      </c>
      <c r="D537" s="3" t="s">
        <v>1684</v>
      </c>
      <c r="E537" s="3">
        <v>1</v>
      </c>
      <c r="F537" s="3" t="s">
        <v>3266</v>
      </c>
      <c r="G537" s="9">
        <v>233.91559799999999</v>
      </c>
      <c r="H537" s="66">
        <v>6900.5101409999997</v>
      </c>
      <c r="I537" s="9">
        <v>341.56731561331799</v>
      </c>
      <c r="J537" s="10">
        <v>1.4602160716675165</v>
      </c>
      <c r="K537" s="66">
        <v>5685.6565692415297</v>
      </c>
      <c r="L537" s="69">
        <v>12586.16671024153</v>
      </c>
      <c r="M537" s="64">
        <v>0</v>
      </c>
      <c r="N537" s="67">
        <v>0</v>
      </c>
      <c r="O537" s="64">
        <f t="shared" si="16"/>
        <v>12586.16671024153</v>
      </c>
      <c r="P537" s="64">
        <f t="shared" si="17"/>
        <v>53.806444793995873</v>
      </c>
    </row>
    <row r="538" spans="1:16" ht="15">
      <c r="A538" s="3" t="s">
        <v>252</v>
      </c>
      <c r="B538" s="3" t="s">
        <v>253</v>
      </c>
      <c r="C538" s="61" t="s">
        <v>3274</v>
      </c>
      <c r="D538" s="3" t="s">
        <v>1684</v>
      </c>
      <c r="E538" s="3">
        <v>1</v>
      </c>
      <c r="F538" s="3" t="s">
        <v>3266</v>
      </c>
      <c r="G538" s="9">
        <v>184.50002000000001</v>
      </c>
      <c r="H538" s="66">
        <v>5442.7505900000006</v>
      </c>
      <c r="I538" s="9">
        <v>269.10572930850202</v>
      </c>
      <c r="J538" s="10">
        <v>1.4585674804181703</v>
      </c>
      <c r="K538" s="66">
        <v>4468.4749820072784</v>
      </c>
      <c r="L538" s="69">
        <v>9911.225572007279</v>
      </c>
      <c r="M538" s="64">
        <v>0</v>
      </c>
      <c r="N538" s="67">
        <v>0</v>
      </c>
      <c r="O538" s="64">
        <f t="shared" si="16"/>
        <v>9911.225572007279</v>
      </c>
      <c r="P538" s="64">
        <f t="shared" si="17"/>
        <v>53.719373970839023</v>
      </c>
    </row>
    <row r="539" spans="1:16" ht="15">
      <c r="A539" s="19">
        <v>65979</v>
      </c>
      <c r="B539" s="20" t="s">
        <v>1950</v>
      </c>
      <c r="C539" s="61" t="s">
        <v>3274</v>
      </c>
      <c r="D539" s="19" t="s">
        <v>1973</v>
      </c>
      <c r="E539" s="19">
        <v>1</v>
      </c>
      <c r="F539" s="19" t="s">
        <v>1974</v>
      </c>
      <c r="G539" s="9">
        <v>150.99</v>
      </c>
      <c r="H539" s="66">
        <v>4454.2049999999999</v>
      </c>
      <c r="I539" s="9">
        <v>685.18621499999995</v>
      </c>
      <c r="J539" s="10">
        <v>4.5379575799721827</v>
      </c>
      <c r="K539" s="66">
        <v>28213.727438966191</v>
      </c>
      <c r="L539" s="69">
        <v>32667.932438966192</v>
      </c>
      <c r="M539" s="64">
        <v>0</v>
      </c>
      <c r="N539" s="67">
        <v>0</v>
      </c>
      <c r="O539" s="64">
        <f t="shared" si="16"/>
        <v>32667.932438966192</v>
      </c>
      <c r="P539" s="64">
        <f t="shared" si="17"/>
        <v>216.35825179790839</v>
      </c>
    </row>
    <row r="540" spans="1:16" ht="15">
      <c r="A540" s="3" t="str">
        <f>"017388"</f>
        <v>017388</v>
      </c>
      <c r="B540" s="3" t="s">
        <v>3019</v>
      </c>
      <c r="C540" s="61" t="s">
        <v>3274</v>
      </c>
      <c r="D540" s="3" t="s">
        <v>3249</v>
      </c>
      <c r="E540" s="3">
        <v>1</v>
      </c>
      <c r="F540" s="3" t="s">
        <v>3220</v>
      </c>
      <c r="G540" s="9">
        <v>42</v>
      </c>
      <c r="H540" s="66">
        <v>1239</v>
      </c>
      <c r="I540" s="9">
        <v>56.0334</v>
      </c>
      <c r="J540" s="10">
        <v>1.3341285714285713</v>
      </c>
      <c r="K540" s="66">
        <v>741.17807562898622</v>
      </c>
      <c r="L540" s="69">
        <v>1980.1780756289863</v>
      </c>
      <c r="M540" s="64">
        <v>0</v>
      </c>
      <c r="N540" s="67">
        <v>0</v>
      </c>
      <c r="O540" s="64">
        <f t="shared" si="16"/>
        <v>1980.1780756289863</v>
      </c>
      <c r="P540" s="64">
        <f t="shared" si="17"/>
        <v>47.14709703878539</v>
      </c>
    </row>
    <row r="541" spans="1:16" ht="15">
      <c r="A541" s="3" t="str">
        <f>"086389"</f>
        <v>086389</v>
      </c>
      <c r="B541" s="3" t="s">
        <v>2979</v>
      </c>
      <c r="C541" s="61" t="s">
        <v>3274</v>
      </c>
      <c r="D541" s="3" t="s">
        <v>3249</v>
      </c>
      <c r="E541" s="3">
        <v>1</v>
      </c>
      <c r="F541" s="3" t="s">
        <v>3220</v>
      </c>
      <c r="G541" s="9">
        <v>154</v>
      </c>
      <c r="H541" s="66">
        <v>4543</v>
      </c>
      <c r="I541" s="9">
        <v>166.6464</v>
      </c>
      <c r="J541" s="10">
        <v>1.0821194805194805</v>
      </c>
      <c r="K541" s="66">
        <v>667.9232698871557</v>
      </c>
      <c r="L541" s="69">
        <v>5210.9232698871556</v>
      </c>
      <c r="M541" s="64">
        <v>0</v>
      </c>
      <c r="N541" s="67">
        <v>0</v>
      </c>
      <c r="O541" s="64">
        <f t="shared" si="16"/>
        <v>5210.9232698871556</v>
      </c>
      <c r="P541" s="64">
        <f t="shared" si="17"/>
        <v>33.837164090176337</v>
      </c>
    </row>
    <row r="542" spans="1:16" ht="15">
      <c r="A542" s="3" t="s">
        <v>1136</v>
      </c>
      <c r="B542" s="3" t="s">
        <v>1137</v>
      </c>
      <c r="C542" s="61" t="s">
        <v>3274</v>
      </c>
      <c r="D542" s="3" t="s">
        <v>3248</v>
      </c>
      <c r="E542" s="3">
        <v>1</v>
      </c>
      <c r="F542" s="3" t="s">
        <v>1907</v>
      </c>
      <c r="G542" s="9">
        <v>7698.506617</v>
      </c>
      <c r="H542" s="66">
        <v>227105.9452015</v>
      </c>
      <c r="I542" s="9">
        <v>9388.93351147455</v>
      </c>
      <c r="J542" s="10">
        <v>1.2195785466679621</v>
      </c>
      <c r="K542" s="66">
        <v>89280.384841744002</v>
      </c>
      <c r="L542" s="69">
        <v>316386.330043244</v>
      </c>
      <c r="M542" s="64">
        <v>3802939.3916964964</v>
      </c>
      <c r="N542" s="67">
        <v>76227.264445122593</v>
      </c>
      <c r="O542" s="64">
        <f t="shared" si="16"/>
        <v>392613.59448836662</v>
      </c>
      <c r="P542" s="64">
        <f t="shared" si="17"/>
        <v>50.99866948498677</v>
      </c>
    </row>
    <row r="543" spans="1:16" ht="15">
      <c r="A543" s="3" t="str">
        <f>"017151"</f>
        <v>017151</v>
      </c>
      <c r="B543" s="3" t="s">
        <v>3017</v>
      </c>
      <c r="C543" s="61" t="s">
        <v>3274</v>
      </c>
      <c r="D543" s="3" t="s">
        <v>3249</v>
      </c>
      <c r="E543" s="3">
        <v>1</v>
      </c>
      <c r="F543" s="3" t="s">
        <v>3220</v>
      </c>
      <c r="G543" s="9">
        <v>181</v>
      </c>
      <c r="H543" s="66">
        <v>5339.5</v>
      </c>
      <c r="I543" s="9">
        <v>202.79920000000001</v>
      </c>
      <c r="J543" s="10">
        <v>1.1204375690607735</v>
      </c>
      <c r="K543" s="66">
        <v>1151.3310463787398</v>
      </c>
      <c r="L543" s="69">
        <v>6490.8310463787402</v>
      </c>
      <c r="M543" s="64">
        <v>0</v>
      </c>
      <c r="N543" s="67">
        <v>0</v>
      </c>
      <c r="O543" s="64">
        <f t="shared" si="16"/>
        <v>6490.8310463787402</v>
      </c>
      <c r="P543" s="64">
        <f t="shared" si="17"/>
        <v>35.860945007617346</v>
      </c>
    </row>
    <row r="544" spans="1:16" ht="15">
      <c r="A544" s="3" t="str">
        <f>"125260"</f>
        <v>125260</v>
      </c>
      <c r="B544" s="3" t="s">
        <v>2678</v>
      </c>
      <c r="C544" s="61" t="s">
        <v>3274</v>
      </c>
      <c r="D544" s="3" t="s">
        <v>3249</v>
      </c>
      <c r="E544" s="3">
        <v>1</v>
      </c>
      <c r="F544" s="3" t="s">
        <v>3220</v>
      </c>
      <c r="G544" s="9">
        <v>44</v>
      </c>
      <c r="H544" s="66">
        <v>1298</v>
      </c>
      <c r="I544" s="9">
        <v>50.249600000000001</v>
      </c>
      <c r="J544" s="10">
        <v>1.1420363636363637</v>
      </c>
      <c r="K544" s="66">
        <v>330.07442967854644</v>
      </c>
      <c r="L544" s="69">
        <v>1628.0744296785465</v>
      </c>
      <c r="M544" s="64">
        <v>0</v>
      </c>
      <c r="N544" s="67">
        <v>0</v>
      </c>
      <c r="O544" s="64">
        <f t="shared" si="16"/>
        <v>1628.0744296785465</v>
      </c>
      <c r="P544" s="64">
        <f t="shared" si="17"/>
        <v>37.001691583603332</v>
      </c>
    </row>
    <row r="545" spans="1:16" ht="15">
      <c r="A545" s="3" t="str">
        <f>"088112"</f>
        <v>088112</v>
      </c>
      <c r="B545" s="3" t="s">
        <v>3105</v>
      </c>
      <c r="C545" s="61" t="s">
        <v>3274</v>
      </c>
      <c r="D545" s="3" t="s">
        <v>3249</v>
      </c>
      <c r="E545" s="3">
        <v>1</v>
      </c>
      <c r="F545" s="3" t="s">
        <v>3220</v>
      </c>
      <c r="G545" s="9">
        <v>341</v>
      </c>
      <c r="H545" s="66">
        <v>10059.5</v>
      </c>
      <c r="I545" s="9">
        <v>341</v>
      </c>
      <c r="J545" s="10">
        <v>1</v>
      </c>
      <c r="K545" s="66">
        <v>0</v>
      </c>
      <c r="L545" s="69">
        <v>10059.5</v>
      </c>
      <c r="M545" s="64">
        <v>0</v>
      </c>
      <c r="N545" s="67">
        <v>0</v>
      </c>
      <c r="O545" s="64">
        <f t="shared" si="16"/>
        <v>10059.5</v>
      </c>
      <c r="P545" s="64">
        <f t="shared" si="17"/>
        <v>29.5</v>
      </c>
    </row>
    <row r="546" spans="1:16" ht="15">
      <c r="A546" s="3" t="s">
        <v>212</v>
      </c>
      <c r="B546" s="3" t="s">
        <v>1794</v>
      </c>
      <c r="C546" s="61" t="s">
        <v>3274</v>
      </c>
      <c r="D546" s="3" t="s">
        <v>1684</v>
      </c>
      <c r="E546" s="3">
        <v>1</v>
      </c>
      <c r="F546" s="3" t="s">
        <v>3266</v>
      </c>
      <c r="G546" s="9">
        <v>435.201393</v>
      </c>
      <c r="H546" s="66">
        <v>12838.4410935</v>
      </c>
      <c r="I546" s="9">
        <v>623.88453740800105</v>
      </c>
      <c r="J546" s="10">
        <v>1.4335536315895963</v>
      </c>
      <c r="K546" s="66">
        <v>9965.3547875745244</v>
      </c>
      <c r="L546" s="69">
        <v>22803.795881074526</v>
      </c>
      <c r="M546" s="64">
        <v>0</v>
      </c>
      <c r="N546" s="67">
        <v>0</v>
      </c>
      <c r="O546" s="64">
        <f t="shared" si="16"/>
        <v>22803.795881074526</v>
      </c>
      <c r="P546" s="64">
        <f t="shared" si="17"/>
        <v>52.398260317780107</v>
      </c>
    </row>
    <row r="547" spans="1:16" ht="15">
      <c r="A547" s="3" t="s">
        <v>357</v>
      </c>
      <c r="B547" s="3" t="s">
        <v>358</v>
      </c>
      <c r="C547" s="61" t="s">
        <v>3274</v>
      </c>
      <c r="D547" s="3" t="s">
        <v>1684</v>
      </c>
      <c r="E547" s="3">
        <v>1</v>
      </c>
      <c r="F547" s="3" t="s">
        <v>3266</v>
      </c>
      <c r="G547" s="9">
        <v>242.03931</v>
      </c>
      <c r="H547" s="66">
        <v>7140.1596449999997</v>
      </c>
      <c r="I547" s="9">
        <v>369.64597005759299</v>
      </c>
      <c r="J547" s="10">
        <v>1.5272146084765859</v>
      </c>
      <c r="K547" s="66">
        <v>6739.5826199587409</v>
      </c>
      <c r="L547" s="69">
        <v>13879.742264958741</v>
      </c>
      <c r="M547" s="64">
        <v>0</v>
      </c>
      <c r="N547" s="67">
        <v>0</v>
      </c>
      <c r="O547" s="64">
        <f t="shared" si="16"/>
        <v>13879.742264958741</v>
      </c>
      <c r="P547" s="64">
        <f t="shared" si="17"/>
        <v>57.344991873257037</v>
      </c>
    </row>
    <row r="548" spans="1:16" ht="15">
      <c r="A548" s="3" t="s">
        <v>650</v>
      </c>
      <c r="B548" s="3" t="s">
        <v>1732</v>
      </c>
      <c r="C548" s="61" t="s">
        <v>3274</v>
      </c>
      <c r="D548" s="3" t="s">
        <v>3248</v>
      </c>
      <c r="E548" s="3">
        <v>1</v>
      </c>
      <c r="F548" s="3" t="s">
        <v>1907</v>
      </c>
      <c r="G548" s="9">
        <v>1057.08872</v>
      </c>
      <c r="H548" s="66">
        <v>31184.11724</v>
      </c>
      <c r="I548" s="9">
        <v>1213.4369675324699</v>
      </c>
      <c r="J548" s="10">
        <v>1.1479045652218007</v>
      </c>
      <c r="K548" s="66">
        <v>8257.5778666666993</v>
      </c>
      <c r="L548" s="69">
        <v>39441.695106666695</v>
      </c>
      <c r="M548" s="64">
        <v>0</v>
      </c>
      <c r="N548" s="67">
        <v>0</v>
      </c>
      <c r="O548" s="64">
        <f t="shared" si="16"/>
        <v>39441.695106666695</v>
      </c>
      <c r="P548" s="64">
        <f t="shared" si="17"/>
        <v>37.31162234582041</v>
      </c>
    </row>
    <row r="549" spans="1:16" ht="15">
      <c r="A549" s="3" t="s">
        <v>1823</v>
      </c>
      <c r="B549" s="61" t="s">
        <v>1824</v>
      </c>
      <c r="C549" s="61" t="s">
        <v>3274</v>
      </c>
      <c r="D549" s="3" t="s">
        <v>1684</v>
      </c>
      <c r="E549" s="3">
        <v>1</v>
      </c>
      <c r="F549" s="3" t="s">
        <v>3267</v>
      </c>
      <c r="G549" s="9">
        <v>553.92903000000001</v>
      </c>
      <c r="H549" s="66">
        <v>3268.1812770000001</v>
      </c>
      <c r="I549" s="9">
        <v>694.29434732537004</v>
      </c>
      <c r="J549" s="10">
        <v>1.2533994604423784</v>
      </c>
      <c r="K549" s="66">
        <v>0</v>
      </c>
      <c r="L549" s="69">
        <v>3268.1812770000001</v>
      </c>
      <c r="M549" s="64">
        <v>0</v>
      </c>
      <c r="N549" s="67">
        <v>0</v>
      </c>
      <c r="O549" s="64">
        <f t="shared" si="16"/>
        <v>3268.1812770000001</v>
      </c>
      <c r="P549" s="64">
        <f t="shared" si="17"/>
        <v>5.9</v>
      </c>
    </row>
    <row r="550" spans="1:16" ht="15">
      <c r="A550" s="3" t="s">
        <v>416</v>
      </c>
      <c r="B550" s="3" t="s">
        <v>417</v>
      </c>
      <c r="C550" s="61" t="s">
        <v>3274</v>
      </c>
      <c r="D550" s="3" t="s">
        <v>1684</v>
      </c>
      <c r="E550" s="3">
        <v>1</v>
      </c>
      <c r="F550" s="3" t="s">
        <v>3266</v>
      </c>
      <c r="G550" s="9">
        <v>761.93206699999996</v>
      </c>
      <c r="H550" s="66">
        <v>22476.995976499999</v>
      </c>
      <c r="I550" s="9">
        <v>1027.1480188277101</v>
      </c>
      <c r="J550" s="10">
        <v>1.3480834621805071</v>
      </c>
      <c r="K550" s="66">
        <v>14007.457123845405</v>
      </c>
      <c r="L550" s="69">
        <v>36484.453100345403</v>
      </c>
      <c r="M550" s="64">
        <v>0</v>
      </c>
      <c r="N550" s="67">
        <v>0</v>
      </c>
      <c r="O550" s="64">
        <f t="shared" si="16"/>
        <v>36484.453100345403</v>
      </c>
      <c r="P550" s="64">
        <f t="shared" si="17"/>
        <v>47.884128625794411</v>
      </c>
    </row>
    <row r="551" spans="1:16" ht="15">
      <c r="A551" s="3" t="str">
        <f>"112227"</f>
        <v>112227</v>
      </c>
      <c r="B551" s="3" t="s">
        <v>2899</v>
      </c>
      <c r="C551" s="61" t="s">
        <v>3274</v>
      </c>
      <c r="D551" s="3" t="s">
        <v>3249</v>
      </c>
      <c r="E551" s="3">
        <v>1</v>
      </c>
      <c r="F551" s="3" t="s">
        <v>3220</v>
      </c>
      <c r="G551" s="9">
        <v>644</v>
      </c>
      <c r="H551" s="66">
        <v>18998</v>
      </c>
      <c r="I551" s="9">
        <v>669.07159999999999</v>
      </c>
      <c r="J551" s="10">
        <v>1.0389310559006211</v>
      </c>
      <c r="K551" s="66">
        <v>1324.1637978636456</v>
      </c>
      <c r="L551" s="69">
        <v>20322.163797863646</v>
      </c>
      <c r="M551" s="64">
        <v>0</v>
      </c>
      <c r="N551" s="67">
        <v>0</v>
      </c>
      <c r="O551" s="64">
        <f t="shared" si="16"/>
        <v>20322.163797863646</v>
      </c>
      <c r="P551" s="64">
        <f t="shared" si="17"/>
        <v>31.556154965626781</v>
      </c>
    </row>
    <row r="552" spans="1:16" ht="15">
      <c r="A552" s="3" t="s">
        <v>153</v>
      </c>
      <c r="B552" s="3" t="s">
        <v>154</v>
      </c>
      <c r="C552" s="61" t="s">
        <v>3274</v>
      </c>
      <c r="D552" s="3" t="s">
        <v>1684</v>
      </c>
      <c r="E552" s="3">
        <v>1</v>
      </c>
      <c r="F552" s="3" t="s">
        <v>3266</v>
      </c>
      <c r="G552" s="9">
        <v>760.97058400000003</v>
      </c>
      <c r="H552" s="66">
        <v>22448.632228000002</v>
      </c>
      <c r="I552" s="9">
        <v>1008.87946917251</v>
      </c>
      <c r="J552" s="10">
        <v>1.3257798532361009</v>
      </c>
      <c r="K552" s="66">
        <v>13093.379397971143</v>
      </c>
      <c r="L552" s="69">
        <v>35542.011625971143</v>
      </c>
      <c r="M552" s="64">
        <v>0</v>
      </c>
      <c r="N552" s="67">
        <v>0</v>
      </c>
      <c r="O552" s="64">
        <f t="shared" si="16"/>
        <v>35542.011625971143</v>
      </c>
      <c r="P552" s="64">
        <f t="shared" si="17"/>
        <v>46.706157075279457</v>
      </c>
    </row>
    <row r="553" spans="1:16" ht="15">
      <c r="A553" s="3" t="s">
        <v>1138</v>
      </c>
      <c r="B553" s="3" t="s">
        <v>1139</v>
      </c>
      <c r="C553" s="61" t="s">
        <v>3274</v>
      </c>
      <c r="D553" s="3" t="s">
        <v>3248</v>
      </c>
      <c r="E553" s="3">
        <v>1</v>
      </c>
      <c r="F553" s="3" t="s">
        <v>1909</v>
      </c>
      <c r="G553" s="9">
        <v>5899.7977559999999</v>
      </c>
      <c r="H553" s="66">
        <v>174044.03380199999</v>
      </c>
      <c r="I553" s="9">
        <v>7801.00868903828</v>
      </c>
      <c r="J553" s="10">
        <v>1.3222501874924066</v>
      </c>
      <c r="K553" s="66">
        <v>100413.0047396997</v>
      </c>
      <c r="L553" s="69">
        <v>274457.0385416997</v>
      </c>
      <c r="M553" s="64">
        <v>4384900.5628215652</v>
      </c>
      <c r="N553" s="67">
        <v>87892.269726301747</v>
      </c>
      <c r="O553" s="64">
        <f t="shared" si="16"/>
        <v>362349.30826800142</v>
      </c>
      <c r="P553" s="64">
        <f t="shared" si="17"/>
        <v>61.417242294364748</v>
      </c>
    </row>
    <row r="554" spans="1:16" ht="15">
      <c r="A554" s="3" t="s">
        <v>1134</v>
      </c>
      <c r="B554" s="3" t="s">
        <v>1135</v>
      </c>
      <c r="C554" s="61" t="s">
        <v>3274</v>
      </c>
      <c r="D554" s="3" t="s">
        <v>3248</v>
      </c>
      <c r="E554" s="3">
        <v>1</v>
      </c>
      <c r="F554" s="3" t="s">
        <v>1905</v>
      </c>
      <c r="G554" s="9">
        <v>3101.4711980000002</v>
      </c>
      <c r="H554" s="66">
        <v>91493.400341</v>
      </c>
      <c r="I554" s="9">
        <v>3783.83637832351</v>
      </c>
      <c r="J554" s="10">
        <v>1.2200133861515581</v>
      </c>
      <c r="K554" s="66">
        <v>36039.314152550716</v>
      </c>
      <c r="L554" s="69">
        <v>127532.71449355071</v>
      </c>
      <c r="M554" s="64">
        <v>2132420.8833996896</v>
      </c>
      <c r="N554" s="67">
        <v>42742.887499634046</v>
      </c>
      <c r="O554" s="64">
        <f t="shared" si="16"/>
        <v>170275.60199318477</v>
      </c>
      <c r="P554" s="64">
        <f t="shared" si="17"/>
        <v>54.901558364619952</v>
      </c>
    </row>
    <row r="555" spans="1:16" ht="15">
      <c r="A555" s="3" t="str">
        <f>"134353"</f>
        <v>134353</v>
      </c>
      <c r="B555" s="3" t="s">
        <v>2973</v>
      </c>
      <c r="C555" s="61" t="s">
        <v>3274</v>
      </c>
      <c r="D555" s="3" t="s">
        <v>3249</v>
      </c>
      <c r="E555" s="3">
        <v>1</v>
      </c>
      <c r="F555" s="3" t="s">
        <v>3220</v>
      </c>
      <c r="G555" s="9">
        <v>155</v>
      </c>
      <c r="H555" s="66">
        <v>4572.5</v>
      </c>
      <c r="I555" s="9">
        <v>167.85300000000001</v>
      </c>
      <c r="J555" s="10">
        <v>1.0829225806451614</v>
      </c>
      <c r="K555" s="66">
        <v>678.83490857948652</v>
      </c>
      <c r="L555" s="69">
        <v>5251.3349085794862</v>
      </c>
      <c r="M555" s="64">
        <v>0</v>
      </c>
      <c r="N555" s="67">
        <v>0</v>
      </c>
      <c r="O555" s="64">
        <f t="shared" si="16"/>
        <v>5251.3349085794862</v>
      </c>
      <c r="P555" s="64">
        <f t="shared" si="17"/>
        <v>33.879580055351525</v>
      </c>
    </row>
    <row r="556" spans="1:16" ht="15">
      <c r="A556" s="3" t="str">
        <f>"096719"</f>
        <v>096719</v>
      </c>
      <c r="B556" s="3" t="s">
        <v>2861</v>
      </c>
      <c r="C556" s="61" t="s">
        <v>3274</v>
      </c>
      <c r="D556" s="3" t="s">
        <v>3249</v>
      </c>
      <c r="E556" s="3">
        <v>1</v>
      </c>
      <c r="F556" s="3" t="s">
        <v>3220</v>
      </c>
      <c r="G556" s="9">
        <v>658</v>
      </c>
      <c r="H556" s="66">
        <v>19411</v>
      </c>
      <c r="I556" s="9">
        <v>706.36019999999996</v>
      </c>
      <c r="J556" s="10">
        <v>1.0734957446808511</v>
      </c>
      <c r="K556" s="66">
        <v>2554.1579355703448</v>
      </c>
      <c r="L556" s="69">
        <v>21965.157935570343</v>
      </c>
      <c r="M556" s="64">
        <v>0</v>
      </c>
      <c r="N556" s="67">
        <v>0</v>
      </c>
      <c r="O556" s="64">
        <f t="shared" si="16"/>
        <v>21965.157935570343</v>
      </c>
      <c r="P556" s="64">
        <f t="shared" si="17"/>
        <v>33.381698990228486</v>
      </c>
    </row>
    <row r="557" spans="1:16" ht="15">
      <c r="A557" s="3" t="str">
        <f>"014157"</f>
        <v>014157</v>
      </c>
      <c r="B557" s="3" t="s">
        <v>3183</v>
      </c>
      <c r="C557" s="61" t="s">
        <v>3274</v>
      </c>
      <c r="D557" s="3" t="s">
        <v>3249</v>
      </c>
      <c r="E557" s="3">
        <v>1</v>
      </c>
      <c r="F557" s="3" t="s">
        <v>3220</v>
      </c>
      <c r="G557" s="9">
        <v>242</v>
      </c>
      <c r="H557" s="66">
        <v>7139</v>
      </c>
      <c r="I557" s="9">
        <v>242</v>
      </c>
      <c r="J557" s="10">
        <v>1</v>
      </c>
      <c r="K557" s="66">
        <v>0</v>
      </c>
      <c r="L557" s="69">
        <v>7139</v>
      </c>
      <c r="M557" s="64">
        <v>0</v>
      </c>
      <c r="N557" s="67">
        <v>0</v>
      </c>
      <c r="O557" s="64">
        <f t="shared" si="16"/>
        <v>7139</v>
      </c>
      <c r="P557" s="64">
        <f t="shared" si="17"/>
        <v>29.5</v>
      </c>
    </row>
    <row r="558" spans="1:16" ht="15">
      <c r="A558" s="3" t="str">
        <f>"016433"</f>
        <v>016433</v>
      </c>
      <c r="B558" s="3" t="s">
        <v>2627</v>
      </c>
      <c r="C558" s="61" t="s">
        <v>3274</v>
      </c>
      <c r="D558" s="3" t="s">
        <v>3249</v>
      </c>
      <c r="E558" s="3">
        <v>1</v>
      </c>
      <c r="F558" s="3" t="s">
        <v>3220</v>
      </c>
      <c r="G558" s="9">
        <v>46</v>
      </c>
      <c r="H558" s="66">
        <v>1357</v>
      </c>
      <c r="I558" s="9">
        <v>50.3</v>
      </c>
      <c r="J558" s="10">
        <v>1.0934782608695652</v>
      </c>
      <c r="K558" s="66">
        <v>227.10574238635246</v>
      </c>
      <c r="L558" s="69">
        <v>1584.1057423863524</v>
      </c>
      <c r="M558" s="64">
        <v>0</v>
      </c>
      <c r="N558" s="67">
        <v>0</v>
      </c>
      <c r="O558" s="64">
        <f t="shared" si="16"/>
        <v>1584.1057423863524</v>
      </c>
      <c r="P558" s="64">
        <f t="shared" si="17"/>
        <v>34.43708135622505</v>
      </c>
    </row>
    <row r="559" spans="1:16" ht="15">
      <c r="A559" s="3" t="s">
        <v>1144</v>
      </c>
      <c r="B559" s="3" t="s">
        <v>1145</v>
      </c>
      <c r="C559" s="61" t="s">
        <v>3274</v>
      </c>
      <c r="D559" s="3" t="s">
        <v>3248</v>
      </c>
      <c r="E559" s="3">
        <v>1</v>
      </c>
      <c r="F559" s="3" t="s">
        <v>1907</v>
      </c>
      <c r="G559" s="9">
        <v>15997.703968</v>
      </c>
      <c r="H559" s="66">
        <v>471932.26705600001</v>
      </c>
      <c r="I559" s="9">
        <v>19234.086891752901</v>
      </c>
      <c r="J559" s="10">
        <v>1.2023029636144409</v>
      </c>
      <c r="K559" s="66">
        <v>170930.49919660861</v>
      </c>
      <c r="L559" s="69">
        <v>642862.76625260862</v>
      </c>
      <c r="M559" s="64">
        <v>8438262.5796137247</v>
      </c>
      <c r="N559" s="67">
        <v>169139.0808168136</v>
      </c>
      <c r="O559" s="64">
        <f t="shared" si="16"/>
        <v>812001.84706942225</v>
      </c>
      <c r="P559" s="64">
        <f t="shared" si="17"/>
        <v>50.757399230143214</v>
      </c>
    </row>
    <row r="560" spans="1:16" ht="15">
      <c r="A560" s="3" t="str">
        <f>"057646"</f>
        <v>057646</v>
      </c>
      <c r="B560" s="3" t="s">
        <v>2990</v>
      </c>
      <c r="C560" s="61" t="s">
        <v>3274</v>
      </c>
      <c r="D560" s="3" t="s">
        <v>3249</v>
      </c>
      <c r="E560" s="3">
        <v>1</v>
      </c>
      <c r="F560" s="3" t="s">
        <v>3220</v>
      </c>
      <c r="G560" s="9">
        <v>275</v>
      </c>
      <c r="H560" s="66">
        <v>8112.5</v>
      </c>
      <c r="I560" s="9">
        <v>309.12020000000001</v>
      </c>
      <c r="J560" s="10">
        <v>1.1240734545454545</v>
      </c>
      <c r="K560" s="66">
        <v>1802.0682212490303</v>
      </c>
      <c r="L560" s="69">
        <v>9914.5682212490301</v>
      </c>
      <c r="M560" s="64">
        <v>0</v>
      </c>
      <c r="N560" s="67">
        <v>0</v>
      </c>
      <c r="O560" s="64">
        <f t="shared" si="16"/>
        <v>9914.5682212490301</v>
      </c>
      <c r="P560" s="64">
        <f t="shared" si="17"/>
        <v>36.052975349996473</v>
      </c>
    </row>
    <row r="561" spans="1:16" ht="15">
      <c r="A561" s="3" t="s">
        <v>379</v>
      </c>
      <c r="B561" s="3" t="s">
        <v>380</v>
      </c>
      <c r="C561" s="61" t="s">
        <v>3274</v>
      </c>
      <c r="D561" s="3" t="s">
        <v>1684</v>
      </c>
      <c r="E561" s="3">
        <v>1</v>
      </c>
      <c r="F561" s="3" t="s">
        <v>3266</v>
      </c>
      <c r="G561" s="9">
        <v>491.827923</v>
      </c>
      <c r="H561" s="66">
        <v>14508.9237285</v>
      </c>
      <c r="I561" s="9">
        <v>645.62450791347601</v>
      </c>
      <c r="J561" s="10">
        <v>1.3127040530260337</v>
      </c>
      <c r="K561" s="66">
        <v>8122.8110682001598</v>
      </c>
      <c r="L561" s="69">
        <v>22631.734796700159</v>
      </c>
      <c r="M561" s="64">
        <v>0</v>
      </c>
      <c r="N561" s="67">
        <v>0</v>
      </c>
      <c r="O561" s="64">
        <f t="shared" si="16"/>
        <v>22631.734796700159</v>
      </c>
      <c r="P561" s="64">
        <f t="shared" si="17"/>
        <v>46.015554909232264</v>
      </c>
    </row>
    <row r="562" spans="1:16" ht="15">
      <c r="A562" s="3" t="s">
        <v>163</v>
      </c>
      <c r="B562" s="3" t="s">
        <v>164</v>
      </c>
      <c r="C562" s="61" t="s">
        <v>3274</v>
      </c>
      <c r="D562" s="3" t="s">
        <v>1684</v>
      </c>
      <c r="E562" s="3">
        <v>1</v>
      </c>
      <c r="F562" s="3" t="s">
        <v>3266</v>
      </c>
      <c r="G562" s="9">
        <v>504.87570899999997</v>
      </c>
      <c r="H562" s="66">
        <v>14893.833415499999</v>
      </c>
      <c r="I562" s="9">
        <v>670.95403152259996</v>
      </c>
      <c r="J562" s="10">
        <v>1.3289489265616461</v>
      </c>
      <c r="K562" s="66">
        <v>8771.474588552368</v>
      </c>
      <c r="L562" s="69">
        <v>23665.308004052367</v>
      </c>
      <c r="M562" s="64">
        <v>0</v>
      </c>
      <c r="N562" s="67">
        <v>0</v>
      </c>
      <c r="O562" s="64">
        <f t="shared" si="16"/>
        <v>23665.308004052367</v>
      </c>
      <c r="P562" s="64">
        <f t="shared" si="17"/>
        <v>46.873532598599169</v>
      </c>
    </row>
    <row r="563" spans="1:16" ht="15">
      <c r="A563" s="3" t="s">
        <v>176</v>
      </c>
      <c r="B563" s="3" t="s">
        <v>177</v>
      </c>
      <c r="C563" s="61" t="s">
        <v>3274</v>
      </c>
      <c r="D563" s="3" t="s">
        <v>1684</v>
      </c>
      <c r="E563" s="3">
        <v>1</v>
      </c>
      <c r="F563" s="3" t="s">
        <v>3266</v>
      </c>
      <c r="G563" s="9">
        <v>485.64683500000001</v>
      </c>
      <c r="H563" s="66">
        <v>14326.5816325</v>
      </c>
      <c r="I563" s="9">
        <v>682.12653594620497</v>
      </c>
      <c r="J563" s="10">
        <v>1.4045732140850973</v>
      </c>
      <c r="K563" s="66">
        <v>10377.132173775914</v>
      </c>
      <c r="L563" s="69">
        <v>24703.713806275911</v>
      </c>
      <c r="M563" s="64">
        <v>0</v>
      </c>
      <c r="N563" s="67">
        <v>0</v>
      </c>
      <c r="O563" s="64">
        <f t="shared" si="16"/>
        <v>24703.713806275911</v>
      </c>
      <c r="P563" s="64">
        <f t="shared" si="17"/>
        <v>50.867651194053209</v>
      </c>
    </row>
    <row r="564" spans="1:16" ht="15">
      <c r="A564" s="3" t="s">
        <v>1819</v>
      </c>
      <c r="B564" s="3" t="s">
        <v>1820</v>
      </c>
      <c r="C564" s="61" t="s">
        <v>3274</v>
      </c>
      <c r="D564" s="3" t="s">
        <v>1684</v>
      </c>
      <c r="E564" s="3">
        <v>1</v>
      </c>
      <c r="F564" s="3" t="s">
        <v>3266</v>
      </c>
      <c r="G564" s="9">
        <v>260.238542</v>
      </c>
      <c r="H564" s="66">
        <v>7677.0369890000002</v>
      </c>
      <c r="I564" s="9">
        <v>338.348643674291</v>
      </c>
      <c r="J564" s="10">
        <v>1.3001480913395642</v>
      </c>
      <c r="K564" s="66">
        <v>4125.4075880496148</v>
      </c>
      <c r="L564" s="69">
        <v>11802.444577049615</v>
      </c>
      <c r="M564" s="64">
        <v>0</v>
      </c>
      <c r="N564" s="67">
        <v>0</v>
      </c>
      <c r="O564" s="64">
        <f t="shared" si="16"/>
        <v>11802.444577049615</v>
      </c>
      <c r="P564" s="64">
        <f t="shared" si="17"/>
        <v>45.352408165004306</v>
      </c>
    </row>
    <row r="565" spans="1:16" ht="15">
      <c r="A565" s="3" t="s">
        <v>305</v>
      </c>
      <c r="B565" s="3" t="s">
        <v>306</v>
      </c>
      <c r="C565" s="61" t="s">
        <v>3274</v>
      </c>
      <c r="D565" s="3" t="s">
        <v>1684</v>
      </c>
      <c r="E565" s="3">
        <v>1</v>
      </c>
      <c r="F565" s="3" t="s">
        <v>3266</v>
      </c>
      <c r="G565" s="9">
        <v>234.61078000000001</v>
      </c>
      <c r="H565" s="66">
        <v>6921.0180099999998</v>
      </c>
      <c r="I565" s="9">
        <v>309.10749130453001</v>
      </c>
      <c r="J565" s="10">
        <v>1.3175331981954539</v>
      </c>
      <c r="K565" s="66">
        <v>3934.5653316644361</v>
      </c>
      <c r="L565" s="69">
        <v>10855.583341664436</v>
      </c>
      <c r="M565" s="64">
        <v>0</v>
      </c>
      <c r="N565" s="67">
        <v>0</v>
      </c>
      <c r="O565" s="64">
        <f t="shared" si="16"/>
        <v>10855.583341664436</v>
      </c>
      <c r="P565" s="64">
        <f t="shared" si="17"/>
        <v>46.270607606625902</v>
      </c>
    </row>
    <row r="566" spans="1:16" ht="15">
      <c r="A566" s="3" t="str">
        <f>"057661"</f>
        <v>057661</v>
      </c>
      <c r="B566" s="3" t="s">
        <v>2671</v>
      </c>
      <c r="C566" s="61" t="s">
        <v>3274</v>
      </c>
      <c r="D566" s="3" t="s">
        <v>3249</v>
      </c>
      <c r="E566" s="3">
        <v>1</v>
      </c>
      <c r="F566" s="3" t="s">
        <v>3220</v>
      </c>
      <c r="G566" s="9">
        <v>340</v>
      </c>
      <c r="H566" s="66">
        <v>10030</v>
      </c>
      <c r="I566" s="9">
        <v>349.94880000000001</v>
      </c>
      <c r="J566" s="10">
        <v>1.0292611764705883</v>
      </c>
      <c r="K566" s="66">
        <v>525.44874647752238</v>
      </c>
      <c r="L566" s="69">
        <v>10555.448746477523</v>
      </c>
      <c r="M566" s="64">
        <v>0</v>
      </c>
      <c r="N566" s="67">
        <v>0</v>
      </c>
      <c r="O566" s="64">
        <f t="shared" si="16"/>
        <v>10555.448746477523</v>
      </c>
      <c r="P566" s="64">
        <f t="shared" si="17"/>
        <v>31.045437489639774</v>
      </c>
    </row>
    <row r="567" spans="1:16" ht="15">
      <c r="A567" s="3" t="s">
        <v>414</v>
      </c>
      <c r="B567" s="3" t="s">
        <v>415</v>
      </c>
      <c r="C567" s="61" t="s">
        <v>3274</v>
      </c>
      <c r="D567" s="3" t="s">
        <v>1684</v>
      </c>
      <c r="E567" s="3">
        <v>1</v>
      </c>
      <c r="F567" s="3" t="s">
        <v>3266</v>
      </c>
      <c r="G567" s="9">
        <v>278.19019200000002</v>
      </c>
      <c r="H567" s="66">
        <v>8206.6106639999998</v>
      </c>
      <c r="I567" s="9">
        <v>402.04345090217902</v>
      </c>
      <c r="J567" s="10">
        <v>1.4452107315925034</v>
      </c>
      <c r="K567" s="66">
        <v>6541.3456534763945</v>
      </c>
      <c r="L567" s="69">
        <v>14747.956317476393</v>
      </c>
      <c r="M567" s="64">
        <v>0</v>
      </c>
      <c r="N567" s="67">
        <v>0</v>
      </c>
      <c r="O567" s="64">
        <f t="shared" si="16"/>
        <v>14747.956317476393</v>
      </c>
      <c r="P567" s="64">
        <f t="shared" si="17"/>
        <v>53.013933422485259</v>
      </c>
    </row>
    <row r="568" spans="1:16" ht="15">
      <c r="A568" s="3" t="str">
        <f>"132340"</f>
        <v>132340</v>
      </c>
      <c r="B568" s="3" t="s">
        <v>3054</v>
      </c>
      <c r="C568" s="61" t="s">
        <v>3274</v>
      </c>
      <c r="D568" s="3" t="s">
        <v>3249</v>
      </c>
      <c r="E568" s="3">
        <v>1</v>
      </c>
      <c r="F568" s="3" t="s">
        <v>3220</v>
      </c>
      <c r="G568" s="9">
        <v>15</v>
      </c>
      <c r="H568" s="66">
        <v>442.5</v>
      </c>
      <c r="I568" s="9">
        <v>15</v>
      </c>
      <c r="J568" s="10">
        <v>1</v>
      </c>
      <c r="K568" s="66">
        <v>0</v>
      </c>
      <c r="L568" s="69">
        <v>442.5</v>
      </c>
      <c r="M568" s="64">
        <v>0</v>
      </c>
      <c r="N568" s="67">
        <v>0</v>
      </c>
      <c r="O568" s="64">
        <f t="shared" si="16"/>
        <v>442.5</v>
      </c>
      <c r="P568" s="64">
        <f t="shared" si="17"/>
        <v>29.5</v>
      </c>
    </row>
    <row r="569" spans="1:16" ht="15">
      <c r="A569" s="3" t="str">
        <f>"134544"</f>
        <v>134544</v>
      </c>
      <c r="B569" s="3" t="s">
        <v>3037</v>
      </c>
      <c r="C569" s="61" t="s">
        <v>3274</v>
      </c>
      <c r="D569" s="3" t="s">
        <v>3249</v>
      </c>
      <c r="E569" s="3">
        <v>1</v>
      </c>
      <c r="F569" s="3" t="s">
        <v>3220</v>
      </c>
      <c r="G569" s="9">
        <v>11</v>
      </c>
      <c r="H569" s="66">
        <v>324.5</v>
      </c>
      <c r="I569" s="9">
        <v>11</v>
      </c>
      <c r="J569" s="10">
        <v>1</v>
      </c>
      <c r="K569" s="66">
        <v>0</v>
      </c>
      <c r="L569" s="69">
        <v>324.5</v>
      </c>
      <c r="M569" s="64">
        <v>0</v>
      </c>
      <c r="N569" s="67">
        <v>0</v>
      </c>
      <c r="O569" s="64">
        <f t="shared" si="16"/>
        <v>324.5</v>
      </c>
      <c r="P569" s="64">
        <f t="shared" si="17"/>
        <v>29.5</v>
      </c>
    </row>
    <row r="570" spans="1:16" ht="15">
      <c r="A570" s="3" t="str">
        <f>"019214"</f>
        <v>019214</v>
      </c>
      <c r="B570" s="3" t="s">
        <v>3152</v>
      </c>
      <c r="C570" s="61" t="s">
        <v>3274</v>
      </c>
      <c r="D570" s="3" t="s">
        <v>3249</v>
      </c>
      <c r="E570" s="3">
        <v>1</v>
      </c>
      <c r="F570" s="3" t="s">
        <v>3220</v>
      </c>
      <c r="G570" s="9">
        <v>3</v>
      </c>
      <c r="H570" s="66">
        <v>88.5</v>
      </c>
      <c r="I570" s="9">
        <v>3</v>
      </c>
      <c r="J570" s="10">
        <v>1</v>
      </c>
      <c r="K570" s="66">
        <v>0</v>
      </c>
      <c r="L570" s="69">
        <v>88.5</v>
      </c>
      <c r="M570" s="64">
        <v>0</v>
      </c>
      <c r="N570" s="67">
        <v>0</v>
      </c>
      <c r="O570" s="64">
        <f t="shared" si="16"/>
        <v>88.5</v>
      </c>
      <c r="P570" s="64">
        <f t="shared" si="17"/>
        <v>29.5</v>
      </c>
    </row>
    <row r="571" spans="1:16" ht="15">
      <c r="A571" s="3" t="str">
        <f>"019215"</f>
        <v>019215</v>
      </c>
      <c r="B571" s="3" t="s">
        <v>2596</v>
      </c>
      <c r="C571" s="61" t="s">
        <v>3274</v>
      </c>
      <c r="D571" s="3" t="s">
        <v>3249</v>
      </c>
      <c r="E571" s="3">
        <v>1</v>
      </c>
      <c r="F571" s="3" t="s">
        <v>3220</v>
      </c>
      <c r="G571" s="9">
        <v>2</v>
      </c>
      <c r="H571" s="66">
        <v>59</v>
      </c>
      <c r="I571" s="9">
        <v>2</v>
      </c>
      <c r="J571" s="10">
        <v>1</v>
      </c>
      <c r="K571" s="66">
        <v>0</v>
      </c>
      <c r="L571" s="69">
        <v>59</v>
      </c>
      <c r="M571" s="64">
        <v>0</v>
      </c>
      <c r="N571" s="67">
        <v>0</v>
      </c>
      <c r="O571" s="64">
        <f t="shared" si="16"/>
        <v>59</v>
      </c>
      <c r="P571" s="64">
        <f t="shared" si="17"/>
        <v>29.5</v>
      </c>
    </row>
    <row r="572" spans="1:16" ht="15">
      <c r="A572" s="3" t="s">
        <v>1750</v>
      </c>
      <c r="B572" s="3" t="s">
        <v>1751</v>
      </c>
      <c r="C572" s="61" t="s">
        <v>3274</v>
      </c>
      <c r="D572" s="3" t="s">
        <v>1684</v>
      </c>
      <c r="E572" s="3">
        <v>1</v>
      </c>
      <c r="F572" s="3" t="s">
        <v>3266</v>
      </c>
      <c r="G572" s="9">
        <v>102.72988599999999</v>
      </c>
      <c r="H572" s="66">
        <v>3030.5316369999996</v>
      </c>
      <c r="I572" s="9">
        <v>138.92883398432301</v>
      </c>
      <c r="J572" s="10">
        <v>1.3523701757473285</v>
      </c>
      <c r="K572" s="66">
        <v>1911.8578966475907</v>
      </c>
      <c r="L572" s="69">
        <v>4942.3895336475907</v>
      </c>
      <c r="M572" s="64">
        <v>0</v>
      </c>
      <c r="N572" s="67">
        <v>0</v>
      </c>
      <c r="O572" s="64">
        <f t="shared" si="16"/>
        <v>4942.3895336475907</v>
      </c>
      <c r="P572" s="64">
        <f t="shared" si="17"/>
        <v>48.110532641373624</v>
      </c>
    </row>
    <row r="573" spans="1:16" ht="15">
      <c r="A573" s="3" t="s">
        <v>180</v>
      </c>
      <c r="B573" s="3" t="s">
        <v>1790</v>
      </c>
      <c r="C573" s="61" t="s">
        <v>3274</v>
      </c>
      <c r="D573" s="3" t="s">
        <v>1684</v>
      </c>
      <c r="E573" s="3">
        <v>1</v>
      </c>
      <c r="F573" s="3" t="s">
        <v>3266</v>
      </c>
      <c r="G573" s="9">
        <v>1373.144585</v>
      </c>
      <c r="H573" s="66">
        <v>40507.765257500003</v>
      </c>
      <c r="I573" s="9">
        <v>1812.30033357502</v>
      </c>
      <c r="J573" s="10">
        <v>1.319817558451079</v>
      </c>
      <c r="K573" s="66">
        <v>23194.137744968448</v>
      </c>
      <c r="L573" s="69">
        <v>63701.903002468447</v>
      </c>
      <c r="M573" s="64">
        <v>0</v>
      </c>
      <c r="N573" s="67">
        <v>0</v>
      </c>
      <c r="O573" s="64">
        <f t="shared" si="16"/>
        <v>63701.903002468447</v>
      </c>
      <c r="P573" s="64">
        <f t="shared" si="17"/>
        <v>46.391256753540233</v>
      </c>
    </row>
    <row r="574" spans="1:16" ht="15">
      <c r="A574" s="3" t="s">
        <v>148</v>
      </c>
      <c r="B574" s="3" t="s">
        <v>1786</v>
      </c>
      <c r="C574" s="61" t="s">
        <v>3274</v>
      </c>
      <c r="D574" s="3" t="s">
        <v>1684</v>
      </c>
      <c r="E574" s="3">
        <v>1</v>
      </c>
      <c r="F574" s="3" t="s">
        <v>3266</v>
      </c>
      <c r="G574" s="9">
        <v>100.16305199999999</v>
      </c>
      <c r="H574" s="66">
        <v>2954.8100339999996</v>
      </c>
      <c r="I574" s="9">
        <v>142.30205876294701</v>
      </c>
      <c r="J574" s="10">
        <v>1.4207041011784167</v>
      </c>
      <c r="K574" s="66">
        <v>2225.5838172843296</v>
      </c>
      <c r="L574" s="69">
        <v>5180.3938512843288</v>
      </c>
      <c r="M574" s="64">
        <v>0</v>
      </c>
      <c r="N574" s="67">
        <v>0</v>
      </c>
      <c r="O574" s="64">
        <f t="shared" si="16"/>
        <v>5180.3938512843288</v>
      </c>
      <c r="P574" s="64">
        <f t="shared" si="17"/>
        <v>51.719608656536636</v>
      </c>
    </row>
    <row r="575" spans="1:16" ht="15">
      <c r="A575" s="3" t="s">
        <v>97</v>
      </c>
      <c r="B575" s="3" t="s">
        <v>1773</v>
      </c>
      <c r="C575" s="61" t="s">
        <v>3274</v>
      </c>
      <c r="D575" s="3" t="s">
        <v>1684</v>
      </c>
      <c r="E575" s="3">
        <v>1</v>
      </c>
      <c r="F575" s="3" t="s">
        <v>3266</v>
      </c>
      <c r="G575" s="9">
        <v>116.940541</v>
      </c>
      <c r="H575" s="66">
        <v>3449.7459595</v>
      </c>
      <c r="I575" s="9">
        <v>166.73783843357501</v>
      </c>
      <c r="J575" s="10">
        <v>1.425834334335558</v>
      </c>
      <c r="K575" s="66">
        <v>2630.0586517409452</v>
      </c>
      <c r="L575" s="69">
        <v>6079.8046112409447</v>
      </c>
      <c r="M575" s="64">
        <v>0</v>
      </c>
      <c r="N575" s="67">
        <v>0</v>
      </c>
      <c r="O575" s="64">
        <f t="shared" si="16"/>
        <v>6079.8046112409447</v>
      </c>
      <c r="P575" s="64">
        <f t="shared" si="17"/>
        <v>51.990563402994219</v>
      </c>
    </row>
    <row r="576" spans="1:16" ht="15">
      <c r="A576" s="3" t="str">
        <f>"008070"</f>
        <v>008070</v>
      </c>
      <c r="B576" s="3" t="s">
        <v>3207</v>
      </c>
      <c r="C576" s="61" t="s">
        <v>3274</v>
      </c>
      <c r="D576" s="3" t="s">
        <v>3249</v>
      </c>
      <c r="E576" s="3">
        <v>1</v>
      </c>
      <c r="F576" s="3" t="s">
        <v>3220</v>
      </c>
      <c r="G576" s="9">
        <v>27</v>
      </c>
      <c r="H576" s="66">
        <v>796.5</v>
      </c>
      <c r="I576" s="9">
        <v>27</v>
      </c>
      <c r="J576" s="10">
        <v>1</v>
      </c>
      <c r="K576" s="66">
        <v>0</v>
      </c>
      <c r="L576" s="69">
        <v>796.5</v>
      </c>
      <c r="M576" s="64">
        <v>0</v>
      </c>
      <c r="N576" s="67">
        <v>0</v>
      </c>
      <c r="O576" s="64">
        <f t="shared" si="16"/>
        <v>796.5</v>
      </c>
      <c r="P576" s="64">
        <f t="shared" si="17"/>
        <v>29.5</v>
      </c>
    </row>
    <row r="577" spans="1:16" ht="15">
      <c r="A577" s="3" t="str">
        <f>"089722"</f>
        <v>089722</v>
      </c>
      <c r="B577" s="3" t="s">
        <v>2851</v>
      </c>
      <c r="C577" s="61" t="s">
        <v>3274</v>
      </c>
      <c r="D577" s="3" t="s">
        <v>3249</v>
      </c>
      <c r="E577" s="3">
        <v>1</v>
      </c>
      <c r="F577" s="3" t="s">
        <v>3220</v>
      </c>
      <c r="G577" s="9">
        <v>517</v>
      </c>
      <c r="H577" s="66">
        <v>15251.5</v>
      </c>
      <c r="I577" s="9">
        <v>532.48540000000003</v>
      </c>
      <c r="J577" s="10">
        <v>1.029952417794971</v>
      </c>
      <c r="K577" s="66">
        <v>817.86587515107692</v>
      </c>
      <c r="L577" s="69">
        <v>16069.365875151077</v>
      </c>
      <c r="M577" s="64">
        <v>0</v>
      </c>
      <c r="N577" s="67">
        <v>0</v>
      </c>
      <c r="O577" s="64">
        <f t="shared" si="16"/>
        <v>16069.365875151077</v>
      </c>
      <c r="P577" s="64">
        <f t="shared" si="17"/>
        <v>31.081945599905371</v>
      </c>
    </row>
    <row r="578" spans="1:16" ht="15">
      <c r="A578" s="3" t="str">
        <f>"110403"</f>
        <v>110403</v>
      </c>
      <c r="B578" s="3" t="s">
        <v>3086</v>
      </c>
      <c r="C578" s="61" t="s">
        <v>3274</v>
      </c>
      <c r="D578" s="3" t="s">
        <v>3249</v>
      </c>
      <c r="E578" s="3">
        <v>1</v>
      </c>
      <c r="F578" s="3" t="s">
        <v>3220</v>
      </c>
      <c r="G578" s="9">
        <v>53</v>
      </c>
      <c r="H578" s="66">
        <v>1563.5</v>
      </c>
      <c r="I578" s="9">
        <v>53</v>
      </c>
      <c r="J578" s="10">
        <v>1</v>
      </c>
      <c r="K578" s="66">
        <v>0</v>
      </c>
      <c r="L578" s="69">
        <v>1563.5</v>
      </c>
      <c r="M578" s="64">
        <v>0</v>
      </c>
      <c r="N578" s="67">
        <v>0</v>
      </c>
      <c r="O578" s="64">
        <f t="shared" si="16"/>
        <v>1563.5</v>
      </c>
      <c r="P578" s="64">
        <f t="shared" si="17"/>
        <v>29.5</v>
      </c>
    </row>
    <row r="579" spans="1:16" ht="15">
      <c r="A579" s="3" t="str">
        <f>"088070"</f>
        <v>088070</v>
      </c>
      <c r="B579" s="3" t="s">
        <v>3106</v>
      </c>
      <c r="C579" s="61" t="s">
        <v>3274</v>
      </c>
      <c r="D579" s="3" t="s">
        <v>3249</v>
      </c>
      <c r="E579" s="3">
        <v>1</v>
      </c>
      <c r="F579" s="3" t="s">
        <v>3220</v>
      </c>
      <c r="G579" s="9">
        <v>298</v>
      </c>
      <c r="H579" s="66">
        <v>8791</v>
      </c>
      <c r="I579" s="9">
        <v>298</v>
      </c>
      <c r="J579" s="10">
        <v>1</v>
      </c>
      <c r="K579" s="66">
        <v>0</v>
      </c>
      <c r="L579" s="69">
        <v>8791</v>
      </c>
      <c r="M579" s="64">
        <v>0</v>
      </c>
      <c r="N579" s="67">
        <v>0</v>
      </c>
      <c r="O579" s="64">
        <f t="shared" ref="O579:O642" si="18">(N579+L579)</f>
        <v>8791</v>
      </c>
      <c r="P579" s="64">
        <f t="shared" ref="P579:P642" si="19">O579/G579</f>
        <v>29.5</v>
      </c>
    </row>
    <row r="580" spans="1:16" ht="15">
      <c r="A580" s="3" t="s">
        <v>232</v>
      </c>
      <c r="B580" s="3" t="s">
        <v>233</v>
      </c>
      <c r="C580" s="61" t="s">
        <v>3274</v>
      </c>
      <c r="D580" s="3" t="s">
        <v>1684</v>
      </c>
      <c r="E580" s="3">
        <v>1</v>
      </c>
      <c r="F580" s="3" t="s">
        <v>3266</v>
      </c>
      <c r="G580" s="9">
        <v>163.64401100000001</v>
      </c>
      <c r="H580" s="66">
        <v>4827.4983245000003</v>
      </c>
      <c r="I580" s="9">
        <v>234.68679037602499</v>
      </c>
      <c r="J580" s="10">
        <v>1.4341300298244644</v>
      </c>
      <c r="K580" s="66">
        <v>3752.1449189260497</v>
      </c>
      <c r="L580" s="69">
        <v>8579.6432434260496</v>
      </c>
      <c r="M580" s="64">
        <v>0</v>
      </c>
      <c r="N580" s="67">
        <v>0</v>
      </c>
      <c r="O580" s="64">
        <f t="shared" si="18"/>
        <v>8579.6432434260496</v>
      </c>
      <c r="P580" s="64">
        <f t="shared" si="19"/>
        <v>52.428702957091716</v>
      </c>
    </row>
    <row r="581" spans="1:16" ht="15">
      <c r="A581" s="3" t="str">
        <f>"070961"</f>
        <v>070961</v>
      </c>
      <c r="B581" s="3" t="s">
        <v>2794</v>
      </c>
      <c r="C581" s="61" t="s">
        <v>3274</v>
      </c>
      <c r="D581" s="3" t="s">
        <v>3249</v>
      </c>
      <c r="E581" s="3">
        <v>1</v>
      </c>
      <c r="F581" s="3" t="s">
        <v>3220</v>
      </c>
      <c r="G581" s="9">
        <v>8</v>
      </c>
      <c r="H581" s="66">
        <v>236</v>
      </c>
      <c r="I581" s="9">
        <v>8</v>
      </c>
      <c r="J581" s="10">
        <v>1</v>
      </c>
      <c r="K581" s="66">
        <v>0</v>
      </c>
      <c r="L581" s="69">
        <v>236</v>
      </c>
      <c r="M581" s="64">
        <v>0</v>
      </c>
      <c r="N581" s="67">
        <v>0</v>
      </c>
      <c r="O581" s="64">
        <f t="shared" si="18"/>
        <v>236</v>
      </c>
      <c r="P581" s="64">
        <f t="shared" si="19"/>
        <v>29.5</v>
      </c>
    </row>
    <row r="582" spans="1:16" ht="15">
      <c r="A582" s="3" t="s">
        <v>1674</v>
      </c>
      <c r="B582" s="3" t="s">
        <v>1675</v>
      </c>
      <c r="C582" s="61" t="s">
        <v>3274</v>
      </c>
      <c r="D582" s="3" t="s">
        <v>1673</v>
      </c>
      <c r="E582" s="3">
        <v>1</v>
      </c>
      <c r="F582" s="3" t="s">
        <v>1673</v>
      </c>
      <c r="G582" s="9">
        <v>925.89560900000004</v>
      </c>
      <c r="H582" s="66">
        <v>27313.920465499999</v>
      </c>
      <c r="I582" s="9">
        <v>1020.48814328637</v>
      </c>
      <c r="J582" s="10">
        <v>1.1021632820880674</v>
      </c>
      <c r="K582" s="66">
        <v>4995.9320286773418</v>
      </c>
      <c r="L582" s="69">
        <v>32309.852494177343</v>
      </c>
      <c r="M582" s="64">
        <v>0</v>
      </c>
      <c r="N582" s="67">
        <v>0</v>
      </c>
      <c r="O582" s="64">
        <f t="shared" si="18"/>
        <v>32309.852494177343</v>
      </c>
      <c r="P582" s="64">
        <f t="shared" si="19"/>
        <v>34.895783261217886</v>
      </c>
    </row>
    <row r="583" spans="1:16" ht="15">
      <c r="A583" s="3" t="s">
        <v>105</v>
      </c>
      <c r="B583" s="3" t="s">
        <v>106</v>
      </c>
      <c r="C583" s="61" t="s">
        <v>3274</v>
      </c>
      <c r="D583" s="3" t="s">
        <v>1684</v>
      </c>
      <c r="E583" s="3">
        <v>1</v>
      </c>
      <c r="F583" s="3" t="s">
        <v>3266</v>
      </c>
      <c r="G583" s="9">
        <v>115.714285</v>
      </c>
      <c r="H583" s="66">
        <v>3413.5714075000001</v>
      </c>
      <c r="I583" s="9">
        <v>164.38171058616101</v>
      </c>
      <c r="J583" s="10">
        <v>1.4205826928469636</v>
      </c>
      <c r="K583" s="66">
        <v>2570.3841436692246</v>
      </c>
      <c r="L583" s="69">
        <v>5983.9555511692251</v>
      </c>
      <c r="M583" s="64">
        <v>0</v>
      </c>
      <c r="N583" s="67">
        <v>0</v>
      </c>
      <c r="O583" s="64">
        <f t="shared" si="18"/>
        <v>5983.9555511692251</v>
      </c>
      <c r="P583" s="64">
        <f t="shared" si="19"/>
        <v>51.713196440432789</v>
      </c>
    </row>
    <row r="584" spans="1:16" ht="15">
      <c r="A584" s="3" t="s">
        <v>373</v>
      </c>
      <c r="B584" s="3" t="s">
        <v>374</v>
      </c>
      <c r="C584" s="61" t="s">
        <v>3274</v>
      </c>
      <c r="D584" s="3" t="s">
        <v>1684</v>
      </c>
      <c r="E584" s="3">
        <v>1</v>
      </c>
      <c r="F584" s="3" t="s">
        <v>3266</v>
      </c>
      <c r="G584" s="9">
        <v>514.68292499999995</v>
      </c>
      <c r="H584" s="66">
        <v>15183.146287499998</v>
      </c>
      <c r="I584" s="9">
        <v>671.91241238990699</v>
      </c>
      <c r="J584" s="10">
        <v>1.3054880582834705</v>
      </c>
      <c r="K584" s="66">
        <v>8304.1208043512815</v>
      </c>
      <c r="L584" s="69">
        <v>23487.267091851281</v>
      </c>
      <c r="M584" s="64">
        <v>0</v>
      </c>
      <c r="N584" s="67">
        <v>0</v>
      </c>
      <c r="O584" s="64">
        <f t="shared" si="18"/>
        <v>23487.267091851281</v>
      </c>
      <c r="P584" s="64">
        <f t="shared" si="19"/>
        <v>45.634440062007656</v>
      </c>
    </row>
    <row r="585" spans="1:16" ht="15">
      <c r="A585" s="3" t="s">
        <v>1140</v>
      </c>
      <c r="B585" s="3" t="s">
        <v>1141</v>
      </c>
      <c r="C585" s="61" t="s">
        <v>3274</v>
      </c>
      <c r="D585" s="3" t="s">
        <v>3248</v>
      </c>
      <c r="E585" s="3">
        <v>1</v>
      </c>
      <c r="F585" s="3" t="s">
        <v>1907</v>
      </c>
      <c r="G585" s="9">
        <v>4930.8485270000001</v>
      </c>
      <c r="H585" s="66">
        <v>145460.03154650002</v>
      </c>
      <c r="I585" s="9">
        <v>5833.3087494253696</v>
      </c>
      <c r="J585" s="10">
        <v>1.1830233107919945</v>
      </c>
      <c r="K585" s="66">
        <v>47663.697392573595</v>
      </c>
      <c r="L585" s="69">
        <v>193123.72893907363</v>
      </c>
      <c r="M585" s="64">
        <v>2665526.1101610311</v>
      </c>
      <c r="N585" s="67">
        <v>53428.609493032825</v>
      </c>
      <c r="O585" s="64">
        <f t="shared" si="18"/>
        <v>246552.33843210645</v>
      </c>
      <c r="P585" s="64">
        <f t="shared" si="19"/>
        <v>50.002010218333048</v>
      </c>
    </row>
    <row r="586" spans="1:16" ht="15">
      <c r="A586" s="3" t="str">
        <f>"094565"</f>
        <v>094565</v>
      </c>
      <c r="B586" s="3" t="s">
        <v>3099</v>
      </c>
      <c r="C586" s="61" t="s">
        <v>3274</v>
      </c>
      <c r="D586" s="3" t="s">
        <v>3249</v>
      </c>
      <c r="E586" s="3">
        <v>1</v>
      </c>
      <c r="F586" s="3" t="s">
        <v>3220</v>
      </c>
      <c r="G586" s="9">
        <v>116</v>
      </c>
      <c r="H586" s="66">
        <v>3422</v>
      </c>
      <c r="I586" s="9">
        <v>116</v>
      </c>
      <c r="J586" s="10">
        <v>1</v>
      </c>
      <c r="K586" s="66">
        <v>0</v>
      </c>
      <c r="L586" s="69">
        <v>3422</v>
      </c>
      <c r="M586" s="64">
        <v>0</v>
      </c>
      <c r="N586" s="67">
        <v>0</v>
      </c>
      <c r="O586" s="64">
        <f t="shared" si="18"/>
        <v>3422</v>
      </c>
      <c r="P586" s="64">
        <f t="shared" si="19"/>
        <v>29.5</v>
      </c>
    </row>
    <row r="587" spans="1:16" ht="15">
      <c r="A587" s="3" t="s">
        <v>144</v>
      </c>
      <c r="B587" s="3" t="s">
        <v>145</v>
      </c>
      <c r="C587" s="61" t="s">
        <v>3274</v>
      </c>
      <c r="D587" s="3" t="s">
        <v>1684</v>
      </c>
      <c r="E587" s="3">
        <v>1</v>
      </c>
      <c r="F587" s="3" t="s">
        <v>3266</v>
      </c>
      <c r="G587" s="9">
        <v>333.62358899999998</v>
      </c>
      <c r="H587" s="66">
        <v>9841.8958755000003</v>
      </c>
      <c r="I587" s="9">
        <v>445.59046596283002</v>
      </c>
      <c r="J587" s="10">
        <v>1.3356083941739205</v>
      </c>
      <c r="K587" s="66">
        <v>5913.562957052307</v>
      </c>
      <c r="L587" s="69">
        <v>15755.458832552307</v>
      </c>
      <c r="M587" s="64">
        <v>0</v>
      </c>
      <c r="N587" s="67">
        <v>0</v>
      </c>
      <c r="O587" s="64">
        <f t="shared" si="18"/>
        <v>15755.458832552307</v>
      </c>
      <c r="P587" s="64">
        <f t="shared" si="19"/>
        <v>47.225254304641837</v>
      </c>
    </row>
    <row r="588" spans="1:16" ht="15">
      <c r="A588" s="52" t="s">
        <v>3237</v>
      </c>
      <c r="B588" s="52" t="s">
        <v>3238</v>
      </c>
      <c r="C588" s="61" t="s">
        <v>3274</v>
      </c>
      <c r="D588" s="3" t="s">
        <v>1684</v>
      </c>
      <c r="E588" s="3">
        <v>1</v>
      </c>
      <c r="F588" s="3" t="s">
        <v>3266</v>
      </c>
      <c r="G588" s="9">
        <v>104.6</v>
      </c>
      <c r="H588" s="66">
        <v>3085.7</v>
      </c>
      <c r="I588" s="9">
        <v>120.594078</v>
      </c>
      <c r="J588" s="10">
        <v>1.1529070554493308</v>
      </c>
      <c r="K588" s="66">
        <v>844.73185069191413</v>
      </c>
      <c r="L588" s="69">
        <v>3930.431850691914</v>
      </c>
      <c r="M588" s="64">
        <v>0</v>
      </c>
      <c r="N588" s="67">
        <v>0</v>
      </c>
      <c r="O588" s="64">
        <f t="shared" si="18"/>
        <v>3930.431850691914</v>
      </c>
      <c r="P588" s="64">
        <f t="shared" si="19"/>
        <v>37.575830312542202</v>
      </c>
    </row>
    <row r="589" spans="1:16" ht="15">
      <c r="A589" s="3" t="s">
        <v>51</v>
      </c>
      <c r="B589" s="3" t="s">
        <v>1768</v>
      </c>
      <c r="C589" s="61" t="s">
        <v>3274</v>
      </c>
      <c r="D589" s="3" t="s">
        <v>1684</v>
      </c>
      <c r="E589" s="3">
        <v>1</v>
      </c>
      <c r="F589" s="3" t="s">
        <v>3266</v>
      </c>
      <c r="G589" s="9">
        <v>205.48192</v>
      </c>
      <c r="H589" s="66">
        <v>6061.7166399999996</v>
      </c>
      <c r="I589" s="9">
        <v>306.286435864098</v>
      </c>
      <c r="J589" s="10">
        <v>1.4905760850594445</v>
      </c>
      <c r="K589" s="66">
        <v>5324.0196305146128</v>
      </c>
      <c r="L589" s="69">
        <v>11385.736270514612</v>
      </c>
      <c r="M589" s="64">
        <v>0</v>
      </c>
      <c r="N589" s="67">
        <v>0</v>
      </c>
      <c r="O589" s="64">
        <f t="shared" si="18"/>
        <v>11385.736270514612</v>
      </c>
      <c r="P589" s="64">
        <f t="shared" si="19"/>
        <v>55.409917673119907</v>
      </c>
    </row>
    <row r="590" spans="1:16" ht="15">
      <c r="A590" s="3" t="str">
        <f>"017410"</f>
        <v>017410</v>
      </c>
      <c r="B590" s="3" t="s">
        <v>2664</v>
      </c>
      <c r="C590" s="61" t="s">
        <v>3274</v>
      </c>
      <c r="D590" s="3" t="s">
        <v>3249</v>
      </c>
      <c r="E590" s="3">
        <v>1</v>
      </c>
      <c r="F590" s="3" t="s">
        <v>3220</v>
      </c>
      <c r="G590" s="9">
        <v>169</v>
      </c>
      <c r="H590" s="66">
        <v>4985.5</v>
      </c>
      <c r="I590" s="9">
        <v>171.2122</v>
      </c>
      <c r="J590" s="10">
        <v>1.0130899408284024</v>
      </c>
      <c r="K590" s="66">
        <v>116.83798216443914</v>
      </c>
      <c r="L590" s="69">
        <v>5102.3379821644394</v>
      </c>
      <c r="M590" s="64">
        <v>0</v>
      </c>
      <c r="N590" s="67">
        <v>0</v>
      </c>
      <c r="O590" s="64">
        <f t="shared" si="18"/>
        <v>5102.3379821644394</v>
      </c>
      <c r="P590" s="64">
        <f t="shared" si="19"/>
        <v>30.191349006890174</v>
      </c>
    </row>
    <row r="591" spans="1:16" ht="15">
      <c r="A591" s="3" t="str">
        <f>"010184"</f>
        <v>010184</v>
      </c>
      <c r="B591" s="3" t="s">
        <v>3198</v>
      </c>
      <c r="C591" s="61" t="s">
        <v>3274</v>
      </c>
      <c r="D591" s="3" t="s">
        <v>3249</v>
      </c>
      <c r="E591" s="3">
        <v>1</v>
      </c>
      <c r="F591" s="3" t="s">
        <v>3220</v>
      </c>
      <c r="G591" s="9">
        <v>200</v>
      </c>
      <c r="H591" s="66">
        <v>5900</v>
      </c>
      <c r="I591" s="9">
        <v>200</v>
      </c>
      <c r="J591" s="10">
        <v>1</v>
      </c>
      <c r="K591" s="66">
        <v>0</v>
      </c>
      <c r="L591" s="69">
        <v>5900</v>
      </c>
      <c r="M591" s="64">
        <v>0</v>
      </c>
      <c r="N591" s="67">
        <v>0</v>
      </c>
      <c r="O591" s="64">
        <f t="shared" si="18"/>
        <v>5900</v>
      </c>
      <c r="P591" s="64">
        <f t="shared" si="19"/>
        <v>29.5</v>
      </c>
    </row>
    <row r="592" spans="1:16" ht="15">
      <c r="A592" s="3" t="s">
        <v>98</v>
      </c>
      <c r="B592" s="3" t="s">
        <v>99</v>
      </c>
      <c r="C592" s="61" t="s">
        <v>3274</v>
      </c>
      <c r="D592" s="3" t="s">
        <v>1684</v>
      </c>
      <c r="E592" s="3">
        <v>1</v>
      </c>
      <c r="F592" s="3" t="s">
        <v>3266</v>
      </c>
      <c r="G592" s="9">
        <v>247.739994</v>
      </c>
      <c r="H592" s="66">
        <v>7308.329823</v>
      </c>
      <c r="I592" s="9">
        <v>1270.3481056624</v>
      </c>
      <c r="J592" s="10">
        <v>5.1277473820492627</v>
      </c>
      <c r="K592" s="66">
        <v>54009.342876603616</v>
      </c>
      <c r="L592" s="69">
        <v>61317.672699603616</v>
      </c>
      <c r="M592" s="64">
        <v>0</v>
      </c>
      <c r="N592" s="67">
        <v>0</v>
      </c>
      <c r="O592" s="64">
        <f t="shared" si="18"/>
        <v>61317.672699603616</v>
      </c>
      <c r="P592" s="64">
        <f t="shared" si="19"/>
        <v>247.50817060084216</v>
      </c>
    </row>
    <row r="593" spans="1:16" ht="15">
      <c r="A593" s="3" t="s">
        <v>299</v>
      </c>
      <c r="B593" s="3" t="s">
        <v>300</v>
      </c>
      <c r="C593" s="61" t="s">
        <v>3274</v>
      </c>
      <c r="D593" s="3" t="s">
        <v>1684</v>
      </c>
      <c r="E593" s="3">
        <v>1</v>
      </c>
      <c r="F593" s="3" t="s">
        <v>3266</v>
      </c>
      <c r="G593" s="9">
        <v>51.779319000000001</v>
      </c>
      <c r="H593" s="66">
        <v>1527.4899105</v>
      </c>
      <c r="I593" s="9">
        <v>77.831144021503704</v>
      </c>
      <c r="J593" s="10">
        <v>1.5031318589088378</v>
      </c>
      <c r="K593" s="66">
        <v>1375.9346655878965</v>
      </c>
      <c r="L593" s="69">
        <v>2903.4245760878966</v>
      </c>
      <c r="M593" s="64">
        <v>0</v>
      </c>
      <c r="N593" s="67">
        <v>0</v>
      </c>
      <c r="O593" s="64">
        <f t="shared" si="18"/>
        <v>2903.4245760878966</v>
      </c>
      <c r="P593" s="64">
        <f t="shared" si="19"/>
        <v>56.073054496678424</v>
      </c>
    </row>
    <row r="594" spans="1:16" ht="15">
      <c r="A594" s="3" t="str">
        <f>"111484"</f>
        <v>111484</v>
      </c>
      <c r="B594" s="3" t="s">
        <v>3084</v>
      </c>
      <c r="C594" s="61" t="s">
        <v>3274</v>
      </c>
      <c r="D594" s="3" t="s">
        <v>3249</v>
      </c>
      <c r="E594" s="3">
        <v>1</v>
      </c>
      <c r="F594" s="3" t="s">
        <v>3220</v>
      </c>
      <c r="G594" s="9">
        <v>16</v>
      </c>
      <c r="H594" s="66">
        <v>472</v>
      </c>
      <c r="I594" s="9">
        <v>16</v>
      </c>
      <c r="J594" s="10">
        <v>1</v>
      </c>
      <c r="K594" s="66">
        <v>0</v>
      </c>
      <c r="L594" s="69">
        <v>472</v>
      </c>
      <c r="M594" s="64">
        <v>0</v>
      </c>
      <c r="N594" s="67">
        <v>0</v>
      </c>
      <c r="O594" s="64">
        <f t="shared" si="18"/>
        <v>472</v>
      </c>
      <c r="P594" s="64">
        <f t="shared" si="19"/>
        <v>29.5</v>
      </c>
    </row>
    <row r="595" spans="1:16" ht="15">
      <c r="A595" s="3" t="str">
        <f>"088104"</f>
        <v>088104</v>
      </c>
      <c r="B595" s="3" t="s">
        <v>2644</v>
      </c>
      <c r="C595" s="61" t="s">
        <v>3274</v>
      </c>
      <c r="D595" s="3" t="s">
        <v>3249</v>
      </c>
      <c r="E595" s="3">
        <v>1</v>
      </c>
      <c r="F595" s="3" t="s">
        <v>3220</v>
      </c>
      <c r="G595" s="9">
        <v>18</v>
      </c>
      <c r="H595" s="66">
        <v>531</v>
      </c>
      <c r="I595" s="9">
        <v>18</v>
      </c>
      <c r="J595" s="10">
        <v>1</v>
      </c>
      <c r="K595" s="66">
        <v>0</v>
      </c>
      <c r="L595" s="69">
        <v>531</v>
      </c>
      <c r="M595" s="64">
        <v>0</v>
      </c>
      <c r="N595" s="67">
        <v>0</v>
      </c>
      <c r="O595" s="64">
        <f t="shared" si="18"/>
        <v>531</v>
      </c>
      <c r="P595" s="64">
        <f t="shared" si="19"/>
        <v>29.5</v>
      </c>
    </row>
    <row r="596" spans="1:16" ht="15">
      <c r="A596" s="3" t="str">
        <f>"057687"</f>
        <v>057687</v>
      </c>
      <c r="B596" s="3" t="s">
        <v>2772</v>
      </c>
      <c r="C596" s="61" t="s">
        <v>3274</v>
      </c>
      <c r="D596" s="3" t="s">
        <v>3249</v>
      </c>
      <c r="E596" s="3">
        <v>1</v>
      </c>
      <c r="F596" s="3" t="s">
        <v>3220</v>
      </c>
      <c r="G596" s="9">
        <v>220</v>
      </c>
      <c r="H596" s="66">
        <v>6490</v>
      </c>
      <c r="I596" s="9">
        <v>232.5488</v>
      </c>
      <c r="J596" s="10">
        <v>1.05704</v>
      </c>
      <c r="K596" s="66">
        <v>662.76849768787486</v>
      </c>
      <c r="L596" s="69">
        <v>7152.7684976878745</v>
      </c>
      <c r="M596" s="64">
        <v>0</v>
      </c>
      <c r="N596" s="67">
        <v>0</v>
      </c>
      <c r="O596" s="64">
        <f t="shared" si="18"/>
        <v>7152.7684976878745</v>
      </c>
      <c r="P596" s="64">
        <f t="shared" si="19"/>
        <v>32.512584080399428</v>
      </c>
    </row>
    <row r="597" spans="1:16" ht="15">
      <c r="A597" s="3" t="str">
        <f>"057695"</f>
        <v>057695</v>
      </c>
      <c r="B597" s="3" t="s">
        <v>2892</v>
      </c>
      <c r="C597" s="61" t="s">
        <v>3274</v>
      </c>
      <c r="D597" s="3" t="s">
        <v>3249</v>
      </c>
      <c r="E597" s="3">
        <v>1</v>
      </c>
      <c r="F597" s="3" t="s">
        <v>3220</v>
      </c>
      <c r="G597" s="9">
        <v>317</v>
      </c>
      <c r="H597" s="66">
        <v>9351.5</v>
      </c>
      <c r="I597" s="9">
        <v>358.06420000000003</v>
      </c>
      <c r="J597" s="10">
        <v>1.1295400630914827</v>
      </c>
      <c r="K597" s="66">
        <v>2168.8175875585275</v>
      </c>
      <c r="L597" s="69">
        <v>11520.317587558528</v>
      </c>
      <c r="M597" s="64">
        <v>0</v>
      </c>
      <c r="N597" s="67">
        <v>0</v>
      </c>
      <c r="O597" s="64">
        <f t="shared" si="18"/>
        <v>11520.317587558528</v>
      </c>
      <c r="P597" s="64">
        <f t="shared" si="19"/>
        <v>36.34169585980608</v>
      </c>
    </row>
    <row r="598" spans="1:16" ht="15">
      <c r="A598" s="3" t="s">
        <v>242</v>
      </c>
      <c r="B598" s="3" t="s">
        <v>243</v>
      </c>
      <c r="C598" s="61" t="s">
        <v>3274</v>
      </c>
      <c r="D598" s="3" t="s">
        <v>1684</v>
      </c>
      <c r="E598" s="3">
        <v>1</v>
      </c>
      <c r="F598" s="3" t="s">
        <v>3266</v>
      </c>
      <c r="G598" s="9">
        <v>595.59859600000004</v>
      </c>
      <c r="H598" s="66">
        <v>17570.158582</v>
      </c>
      <c r="I598" s="9">
        <v>712.157354661721</v>
      </c>
      <c r="J598" s="10">
        <v>1.1957001904378581</v>
      </c>
      <c r="K598" s="66">
        <v>6156.084515698104</v>
      </c>
      <c r="L598" s="69">
        <v>23726.243097698105</v>
      </c>
      <c r="M598" s="64">
        <v>9765.99</v>
      </c>
      <c r="N598" s="67">
        <v>195.75244978235887</v>
      </c>
      <c r="O598" s="64">
        <f t="shared" si="18"/>
        <v>23921.995547480463</v>
      </c>
      <c r="P598" s="64">
        <f t="shared" si="19"/>
        <v>40.164627163561114</v>
      </c>
    </row>
    <row r="599" spans="1:16" ht="15">
      <c r="A599" s="3" t="s">
        <v>183</v>
      </c>
      <c r="B599" s="3" t="s">
        <v>184</v>
      </c>
      <c r="C599" s="61" t="s">
        <v>3274</v>
      </c>
      <c r="D599" s="3" t="s">
        <v>1684</v>
      </c>
      <c r="E599" s="3">
        <v>1</v>
      </c>
      <c r="F599" s="3" t="s">
        <v>3266</v>
      </c>
      <c r="G599" s="9">
        <v>342.19919499999997</v>
      </c>
      <c r="H599" s="66">
        <v>10094.876252499998</v>
      </c>
      <c r="I599" s="9">
        <v>508.43679992459897</v>
      </c>
      <c r="J599" s="10">
        <v>1.485791922814427</v>
      </c>
      <c r="K599" s="66">
        <v>8779.8871346349406</v>
      </c>
      <c r="L599" s="69">
        <v>18874.763387134939</v>
      </c>
      <c r="M599" s="64">
        <v>0</v>
      </c>
      <c r="N599" s="67">
        <v>0</v>
      </c>
      <c r="O599" s="64">
        <f t="shared" si="18"/>
        <v>18874.763387134939</v>
      </c>
      <c r="P599" s="64">
        <f t="shared" si="19"/>
        <v>55.157240761875379</v>
      </c>
    </row>
    <row r="600" spans="1:16" ht="15">
      <c r="A600" s="3" t="s">
        <v>193</v>
      </c>
      <c r="B600" s="3" t="s">
        <v>194</v>
      </c>
      <c r="C600" s="61" t="s">
        <v>3274</v>
      </c>
      <c r="D600" s="3" t="s">
        <v>1684</v>
      </c>
      <c r="E600" s="3">
        <v>1</v>
      </c>
      <c r="F600" s="3" t="s">
        <v>3266</v>
      </c>
      <c r="G600" s="9">
        <v>121.428568</v>
      </c>
      <c r="H600" s="66">
        <v>3582.1427559999997</v>
      </c>
      <c r="I600" s="9">
        <v>166.224457234623</v>
      </c>
      <c r="J600" s="10">
        <v>1.3689073335248672</v>
      </c>
      <c r="K600" s="66">
        <v>2365.9078326711342</v>
      </c>
      <c r="L600" s="69">
        <v>5948.0505886711344</v>
      </c>
      <c r="M600" s="64">
        <v>0</v>
      </c>
      <c r="N600" s="67">
        <v>0</v>
      </c>
      <c r="O600" s="64">
        <f t="shared" si="18"/>
        <v>5948.0505886711344</v>
      </c>
      <c r="P600" s="64">
        <f t="shared" si="19"/>
        <v>48.983947407426683</v>
      </c>
    </row>
    <row r="601" spans="1:16" ht="15">
      <c r="A601" s="3" t="s">
        <v>1142</v>
      </c>
      <c r="B601" s="3" t="s">
        <v>1143</v>
      </c>
      <c r="C601" s="61" t="s">
        <v>3274</v>
      </c>
      <c r="D601" s="3" t="s">
        <v>3248</v>
      </c>
      <c r="E601" s="3">
        <v>1</v>
      </c>
      <c r="F601" s="3" t="s">
        <v>1906</v>
      </c>
      <c r="G601" s="9">
        <v>7221.0327820000002</v>
      </c>
      <c r="H601" s="66">
        <v>213020.46706900001</v>
      </c>
      <c r="I601" s="9">
        <v>8991.8039740590793</v>
      </c>
      <c r="J601" s="10">
        <v>1.245224089893777</v>
      </c>
      <c r="K601" s="66">
        <v>93523.792132312505</v>
      </c>
      <c r="L601" s="69">
        <v>306544.2592013125</v>
      </c>
      <c r="M601" s="64">
        <v>5015002.2019952722</v>
      </c>
      <c r="N601" s="67">
        <v>100522.21707215537</v>
      </c>
      <c r="O601" s="64">
        <f t="shared" si="18"/>
        <v>407066.47627346788</v>
      </c>
      <c r="P601" s="64">
        <f t="shared" si="19"/>
        <v>56.372334617863793</v>
      </c>
    </row>
    <row r="602" spans="1:16" ht="15">
      <c r="A602" s="3" t="s">
        <v>236</v>
      </c>
      <c r="B602" s="3" t="s">
        <v>1796</v>
      </c>
      <c r="C602" s="61" t="s">
        <v>3274</v>
      </c>
      <c r="D602" s="3" t="s">
        <v>1684</v>
      </c>
      <c r="E602" s="3">
        <v>1</v>
      </c>
      <c r="F602" s="3" t="s">
        <v>3266</v>
      </c>
      <c r="G602" s="9">
        <v>82.518709000000001</v>
      </c>
      <c r="H602" s="66">
        <v>2434.3019155000002</v>
      </c>
      <c r="I602" s="9">
        <v>106.5823270115</v>
      </c>
      <c r="J602" s="10">
        <v>1.2916140873156414</v>
      </c>
      <c r="K602" s="66">
        <v>1270.9269379077473</v>
      </c>
      <c r="L602" s="69">
        <v>3705.2288534077475</v>
      </c>
      <c r="M602" s="64">
        <v>0</v>
      </c>
      <c r="N602" s="67">
        <v>0</v>
      </c>
      <c r="O602" s="64">
        <f t="shared" si="18"/>
        <v>3705.2288534077475</v>
      </c>
      <c r="P602" s="64">
        <f t="shared" si="19"/>
        <v>44.901682276776135</v>
      </c>
    </row>
    <row r="603" spans="1:16" ht="15">
      <c r="A603" s="3" t="str">
        <f>"053496"</f>
        <v>053496</v>
      </c>
      <c r="B603" s="3" t="s">
        <v>2801</v>
      </c>
      <c r="C603" s="61" t="s">
        <v>3274</v>
      </c>
      <c r="D603" s="3" t="s">
        <v>3249</v>
      </c>
      <c r="E603" s="3">
        <v>1</v>
      </c>
      <c r="F603" s="3" t="s">
        <v>3220</v>
      </c>
      <c r="G603" s="9">
        <v>25</v>
      </c>
      <c r="H603" s="66">
        <v>737.5</v>
      </c>
      <c r="I603" s="9">
        <v>36.523600000000002</v>
      </c>
      <c r="J603" s="10">
        <v>1.460944</v>
      </c>
      <c r="K603" s="66">
        <v>608.62226347985427</v>
      </c>
      <c r="L603" s="69">
        <v>1346.1222634798542</v>
      </c>
      <c r="M603" s="64">
        <v>0</v>
      </c>
      <c r="N603" s="67">
        <v>0</v>
      </c>
      <c r="O603" s="64">
        <f t="shared" si="18"/>
        <v>1346.1222634798542</v>
      </c>
      <c r="P603" s="64">
        <f t="shared" si="19"/>
        <v>53.844890539194168</v>
      </c>
    </row>
    <row r="604" spans="1:16" ht="15">
      <c r="A604" s="3" t="str">
        <f>"132498"</f>
        <v>132498</v>
      </c>
      <c r="B604" s="3" t="s">
        <v>2902</v>
      </c>
      <c r="C604" s="61" t="s">
        <v>3274</v>
      </c>
      <c r="D604" s="3" t="s">
        <v>3249</v>
      </c>
      <c r="E604" s="3">
        <v>1</v>
      </c>
      <c r="F604" s="3" t="s">
        <v>3220</v>
      </c>
      <c r="G604" s="9">
        <v>142</v>
      </c>
      <c r="H604" s="66">
        <v>4189</v>
      </c>
      <c r="I604" s="9">
        <v>173.50899999999999</v>
      </c>
      <c r="J604" s="10">
        <v>1.2218943661971831</v>
      </c>
      <c r="K604" s="66">
        <v>1664.1569388026935</v>
      </c>
      <c r="L604" s="69">
        <v>5853.1569388026937</v>
      </c>
      <c r="M604" s="64">
        <v>0</v>
      </c>
      <c r="N604" s="67">
        <v>0</v>
      </c>
      <c r="O604" s="64">
        <f t="shared" si="18"/>
        <v>5853.1569388026937</v>
      </c>
      <c r="P604" s="64">
        <f t="shared" si="19"/>
        <v>41.219415061990802</v>
      </c>
    </row>
    <row r="605" spans="1:16" ht="15">
      <c r="A605" s="3" t="str">
        <f>"121053"</f>
        <v>121053</v>
      </c>
      <c r="B605" s="3" t="s">
        <v>3064</v>
      </c>
      <c r="C605" s="61" t="s">
        <v>3274</v>
      </c>
      <c r="D605" s="3" t="s">
        <v>3249</v>
      </c>
      <c r="E605" s="3">
        <v>1</v>
      </c>
      <c r="F605" s="3" t="s">
        <v>3220</v>
      </c>
      <c r="G605" s="9">
        <v>18</v>
      </c>
      <c r="H605" s="66">
        <v>531</v>
      </c>
      <c r="I605" s="9">
        <v>18</v>
      </c>
      <c r="J605" s="10">
        <v>1</v>
      </c>
      <c r="K605" s="66">
        <v>0</v>
      </c>
      <c r="L605" s="69">
        <v>531</v>
      </c>
      <c r="M605" s="64">
        <v>0</v>
      </c>
      <c r="N605" s="67">
        <v>0</v>
      </c>
      <c r="O605" s="64">
        <f t="shared" si="18"/>
        <v>531</v>
      </c>
      <c r="P605" s="64">
        <f t="shared" si="19"/>
        <v>29.5</v>
      </c>
    </row>
    <row r="606" spans="1:16" ht="15">
      <c r="A606" s="3" t="str">
        <f>"090472"</f>
        <v>090472</v>
      </c>
      <c r="B606" s="3" t="s">
        <v>3032</v>
      </c>
      <c r="C606" s="61" t="s">
        <v>3274</v>
      </c>
      <c r="D606" s="3" t="s">
        <v>3249</v>
      </c>
      <c r="E606" s="3">
        <v>1</v>
      </c>
      <c r="F606" s="3" t="s">
        <v>3220</v>
      </c>
      <c r="G606" s="9">
        <v>135</v>
      </c>
      <c r="H606" s="66">
        <v>3982.5</v>
      </c>
      <c r="I606" s="9">
        <v>191.71439999999998</v>
      </c>
      <c r="J606" s="10">
        <v>1.4201066666666666</v>
      </c>
      <c r="K606" s="66">
        <v>2995.3874223247799</v>
      </c>
      <c r="L606" s="69">
        <v>6977.8874223247803</v>
      </c>
      <c r="M606" s="64">
        <v>0</v>
      </c>
      <c r="N606" s="67">
        <v>0</v>
      </c>
      <c r="O606" s="64">
        <f t="shared" si="18"/>
        <v>6977.8874223247803</v>
      </c>
      <c r="P606" s="64">
        <f t="shared" si="19"/>
        <v>51.688054980183558</v>
      </c>
    </row>
    <row r="607" spans="1:16" ht="15">
      <c r="A607" s="3" t="s">
        <v>1748</v>
      </c>
      <c r="B607" s="3" t="s">
        <v>1749</v>
      </c>
      <c r="C607" s="61" t="s">
        <v>3274</v>
      </c>
      <c r="D607" s="3" t="s">
        <v>1684</v>
      </c>
      <c r="E607" s="3">
        <v>1</v>
      </c>
      <c r="F607" s="3" t="s">
        <v>3266</v>
      </c>
      <c r="G607" s="9">
        <v>171.198486</v>
      </c>
      <c r="H607" s="66">
        <v>5050.355337</v>
      </c>
      <c r="I607" s="9">
        <v>197.523613445775</v>
      </c>
      <c r="J607" s="10">
        <v>1.153769627645977</v>
      </c>
      <c r="K607" s="66">
        <v>1390.3692120902504</v>
      </c>
      <c r="L607" s="69">
        <v>6440.7245490902505</v>
      </c>
      <c r="M607" s="64">
        <v>0</v>
      </c>
      <c r="N607" s="67">
        <v>0</v>
      </c>
      <c r="O607" s="64">
        <f t="shared" si="18"/>
        <v>6440.7245490902505</v>
      </c>
      <c r="P607" s="64">
        <f t="shared" si="19"/>
        <v>37.621387312328515</v>
      </c>
    </row>
    <row r="608" spans="1:16" ht="15">
      <c r="A608" s="3" t="s">
        <v>146</v>
      </c>
      <c r="B608" s="3" t="s">
        <v>147</v>
      </c>
      <c r="C608" s="61" t="s">
        <v>3274</v>
      </c>
      <c r="D608" s="3" t="s">
        <v>1684</v>
      </c>
      <c r="E608" s="3">
        <v>1</v>
      </c>
      <c r="F608" s="3" t="s">
        <v>3266</v>
      </c>
      <c r="G608" s="9">
        <v>221.081761</v>
      </c>
      <c r="H608" s="66">
        <v>6521.9119495000004</v>
      </c>
      <c r="I608" s="9">
        <v>350.431501854121</v>
      </c>
      <c r="J608" s="10">
        <v>1.5850764905664063</v>
      </c>
      <c r="K608" s="66">
        <v>6831.6439358505759</v>
      </c>
      <c r="L608" s="69">
        <v>13353.555885350575</v>
      </c>
      <c r="M608" s="64">
        <v>0</v>
      </c>
      <c r="N608" s="67">
        <v>0</v>
      </c>
      <c r="O608" s="64">
        <f t="shared" si="18"/>
        <v>13353.555885350575</v>
      </c>
      <c r="P608" s="64">
        <f t="shared" si="19"/>
        <v>60.40098389369431</v>
      </c>
    </row>
    <row r="609" spans="1:16" ht="15">
      <c r="A609" s="3" t="s">
        <v>787</v>
      </c>
      <c r="B609" s="3" t="s">
        <v>788</v>
      </c>
      <c r="C609" s="61" t="s">
        <v>3274</v>
      </c>
      <c r="D609" s="3" t="s">
        <v>3248</v>
      </c>
      <c r="E609" s="3">
        <v>1</v>
      </c>
      <c r="F609" s="3" t="s">
        <v>1909</v>
      </c>
      <c r="G609" s="9">
        <v>22654.394423999998</v>
      </c>
      <c r="H609" s="66">
        <v>668304.63550799992</v>
      </c>
      <c r="I609" s="9">
        <v>30066.749673662998</v>
      </c>
      <c r="J609" s="10">
        <v>1.3271928223254723</v>
      </c>
      <c r="K609" s="66">
        <v>391485.68414095201</v>
      </c>
      <c r="L609" s="69">
        <v>1059790.319648952</v>
      </c>
      <c r="M609" s="64">
        <v>15239759.935561044</v>
      </c>
      <c r="N609" s="67">
        <v>305470.34570802527</v>
      </c>
      <c r="O609" s="64">
        <f t="shared" si="18"/>
        <v>1365260.6653569774</v>
      </c>
      <c r="P609" s="64">
        <f t="shared" si="19"/>
        <v>60.264716849399612</v>
      </c>
    </row>
    <row r="610" spans="1:16" ht="15">
      <c r="A610" s="3" t="str">
        <f>"057745"</f>
        <v>057745</v>
      </c>
      <c r="B610" s="3" t="s">
        <v>2858</v>
      </c>
      <c r="C610" s="61" t="s">
        <v>3274</v>
      </c>
      <c r="D610" s="3" t="s">
        <v>3249</v>
      </c>
      <c r="E610" s="3">
        <v>1</v>
      </c>
      <c r="F610" s="3" t="s">
        <v>3220</v>
      </c>
      <c r="G610" s="9">
        <v>192</v>
      </c>
      <c r="H610" s="66">
        <v>5664</v>
      </c>
      <c r="I610" s="9">
        <v>208.8228</v>
      </c>
      <c r="J610" s="10">
        <v>1.0876187500000001</v>
      </c>
      <c r="K610" s="66">
        <v>888.50104256212398</v>
      </c>
      <c r="L610" s="69">
        <v>6552.501042562124</v>
      </c>
      <c r="M610" s="64">
        <v>0</v>
      </c>
      <c r="N610" s="67">
        <v>0</v>
      </c>
      <c r="O610" s="64">
        <f t="shared" si="18"/>
        <v>6552.501042562124</v>
      </c>
      <c r="P610" s="64">
        <f t="shared" si="19"/>
        <v>34.127609596677729</v>
      </c>
    </row>
    <row r="611" spans="1:16" ht="15">
      <c r="A611" s="3" t="str">
        <f>"057778"</f>
        <v>057778</v>
      </c>
      <c r="B611" s="3" t="s">
        <v>2897</v>
      </c>
      <c r="C611" s="61" t="s">
        <v>3274</v>
      </c>
      <c r="D611" s="3" t="s">
        <v>3249</v>
      </c>
      <c r="E611" s="3">
        <v>1</v>
      </c>
      <c r="F611" s="3" t="s">
        <v>3220</v>
      </c>
      <c r="G611" s="9">
        <v>422</v>
      </c>
      <c r="H611" s="66">
        <v>12449</v>
      </c>
      <c r="I611" s="9">
        <v>446.93420000000003</v>
      </c>
      <c r="J611" s="10">
        <v>1.0590857819905215</v>
      </c>
      <c r="K611" s="66">
        <v>1316.90697716507</v>
      </c>
      <c r="L611" s="69">
        <v>13765.90697716507</v>
      </c>
      <c r="M611" s="64">
        <v>0</v>
      </c>
      <c r="N611" s="67">
        <v>0</v>
      </c>
      <c r="O611" s="64">
        <f t="shared" si="18"/>
        <v>13765.90697716507</v>
      </c>
      <c r="P611" s="64">
        <f t="shared" si="19"/>
        <v>32.620632647310593</v>
      </c>
    </row>
    <row r="612" spans="1:16" ht="15">
      <c r="A612" s="3" t="str">
        <f>"057786"</f>
        <v>057786</v>
      </c>
      <c r="B612" s="3" t="s">
        <v>2665</v>
      </c>
      <c r="C612" s="61" t="s">
        <v>3274</v>
      </c>
      <c r="D612" s="3" t="s">
        <v>3249</v>
      </c>
      <c r="E612" s="3">
        <v>1</v>
      </c>
      <c r="F612" s="3" t="s">
        <v>3220</v>
      </c>
      <c r="G612" s="9">
        <v>185</v>
      </c>
      <c r="H612" s="66">
        <v>5457.5</v>
      </c>
      <c r="I612" s="9">
        <v>201.81219999999999</v>
      </c>
      <c r="J612" s="10">
        <v>1.0908767567567568</v>
      </c>
      <c r="K612" s="66">
        <v>887.94120049949663</v>
      </c>
      <c r="L612" s="69">
        <v>6345.4412004994965</v>
      </c>
      <c r="M612" s="64">
        <v>0</v>
      </c>
      <c r="N612" s="67">
        <v>0</v>
      </c>
      <c r="O612" s="64">
        <f t="shared" si="18"/>
        <v>6345.4412004994965</v>
      </c>
      <c r="P612" s="64">
        <f t="shared" si="19"/>
        <v>34.299682164862141</v>
      </c>
    </row>
    <row r="613" spans="1:16" ht="15">
      <c r="A613" s="3" t="str">
        <f>"057836"</f>
        <v>057836</v>
      </c>
      <c r="B613" s="3" t="s">
        <v>2722</v>
      </c>
      <c r="C613" s="61" t="s">
        <v>3274</v>
      </c>
      <c r="D613" s="3" t="s">
        <v>3249</v>
      </c>
      <c r="E613" s="3">
        <v>1</v>
      </c>
      <c r="F613" s="3" t="s">
        <v>3220</v>
      </c>
      <c r="G613" s="9">
        <v>468</v>
      </c>
      <c r="H613" s="66">
        <v>13806</v>
      </c>
      <c r="I613" s="9">
        <v>515.68139999999994</v>
      </c>
      <c r="J613" s="10">
        <v>1.1018833333333331</v>
      </c>
      <c r="K613" s="66">
        <v>2518.3069174466559</v>
      </c>
      <c r="L613" s="69">
        <v>16324.306917446656</v>
      </c>
      <c r="M613" s="64">
        <v>0</v>
      </c>
      <c r="N613" s="67">
        <v>0</v>
      </c>
      <c r="O613" s="64">
        <f t="shared" si="18"/>
        <v>16324.306917446656</v>
      </c>
      <c r="P613" s="64">
        <f t="shared" si="19"/>
        <v>34.880997686851828</v>
      </c>
    </row>
    <row r="614" spans="1:16" ht="15">
      <c r="A614" s="3" t="str">
        <f>"124883"</f>
        <v>124883</v>
      </c>
      <c r="B614" s="3" t="s">
        <v>2972</v>
      </c>
      <c r="C614" s="61" t="s">
        <v>3274</v>
      </c>
      <c r="D614" s="3" t="s">
        <v>3249</v>
      </c>
      <c r="E614" s="3">
        <v>1</v>
      </c>
      <c r="F614" s="3" t="s">
        <v>3220</v>
      </c>
      <c r="G614" s="9">
        <v>543</v>
      </c>
      <c r="H614" s="66">
        <v>16018.5</v>
      </c>
      <c r="I614" s="9">
        <v>570.03399999999999</v>
      </c>
      <c r="J614" s="10">
        <v>1.0497863720073666</v>
      </c>
      <c r="K614" s="66">
        <v>1427.8085208541058</v>
      </c>
      <c r="L614" s="69">
        <v>17446.308520854105</v>
      </c>
      <c r="M614" s="64">
        <v>0</v>
      </c>
      <c r="N614" s="67">
        <v>0</v>
      </c>
      <c r="O614" s="64">
        <f t="shared" si="18"/>
        <v>17446.308520854105</v>
      </c>
      <c r="P614" s="64">
        <f t="shared" si="19"/>
        <v>32.129481622199087</v>
      </c>
    </row>
    <row r="615" spans="1:16" ht="15">
      <c r="A615" s="3" t="str">
        <f>"057844"</f>
        <v>057844</v>
      </c>
      <c r="B615" s="3" t="s">
        <v>2905</v>
      </c>
      <c r="C615" s="61" t="s">
        <v>3274</v>
      </c>
      <c r="D615" s="3" t="s">
        <v>3249</v>
      </c>
      <c r="E615" s="3">
        <v>1</v>
      </c>
      <c r="F615" s="3" t="s">
        <v>3220</v>
      </c>
      <c r="G615" s="9">
        <v>245</v>
      </c>
      <c r="H615" s="66">
        <v>7227.5</v>
      </c>
      <c r="I615" s="9">
        <v>271.80900000000003</v>
      </c>
      <c r="J615" s="10">
        <v>1.1094244897959185</v>
      </c>
      <c r="K615" s="66">
        <v>1415.9250808455195</v>
      </c>
      <c r="L615" s="69">
        <v>8643.4250808455199</v>
      </c>
      <c r="M615" s="64">
        <v>0</v>
      </c>
      <c r="N615" s="67">
        <v>0</v>
      </c>
      <c r="O615" s="64">
        <f t="shared" si="18"/>
        <v>8643.4250808455199</v>
      </c>
      <c r="P615" s="64">
        <f t="shared" si="19"/>
        <v>35.27928604426743</v>
      </c>
    </row>
    <row r="616" spans="1:16" ht="15">
      <c r="A616" s="3" t="str">
        <f>"057851"</f>
        <v>057851</v>
      </c>
      <c r="B616" s="3" t="s">
        <v>2999</v>
      </c>
      <c r="C616" s="61" t="s">
        <v>3274</v>
      </c>
      <c r="D616" s="3" t="s">
        <v>3249</v>
      </c>
      <c r="E616" s="3">
        <v>1</v>
      </c>
      <c r="F616" s="3" t="s">
        <v>3220</v>
      </c>
      <c r="G616" s="9">
        <v>224</v>
      </c>
      <c r="H616" s="66">
        <v>6608</v>
      </c>
      <c r="I616" s="9">
        <v>250.56300000000002</v>
      </c>
      <c r="J616" s="10">
        <v>1.1185848214285714</v>
      </c>
      <c r="K616" s="66">
        <v>1402.9325197694625</v>
      </c>
      <c r="L616" s="69">
        <v>8010.9325197694625</v>
      </c>
      <c r="M616" s="64">
        <v>0</v>
      </c>
      <c r="N616" s="67">
        <v>0</v>
      </c>
      <c r="O616" s="64">
        <f t="shared" si="18"/>
        <v>8010.9325197694625</v>
      </c>
      <c r="P616" s="64">
        <f t="shared" si="19"/>
        <v>35.763091606113669</v>
      </c>
    </row>
    <row r="617" spans="1:16" ht="15">
      <c r="A617" s="3" t="str">
        <f>"053520"</f>
        <v>053520</v>
      </c>
      <c r="B617" s="3" t="s">
        <v>2593</v>
      </c>
      <c r="C617" s="61" t="s">
        <v>3274</v>
      </c>
      <c r="D617" s="3" t="s">
        <v>3249</v>
      </c>
      <c r="E617" s="3">
        <v>1</v>
      </c>
      <c r="F617" s="3" t="s">
        <v>3220</v>
      </c>
      <c r="G617" s="9">
        <v>574</v>
      </c>
      <c r="H617" s="66">
        <v>16933</v>
      </c>
      <c r="I617" s="9">
        <v>574</v>
      </c>
      <c r="J617" s="10">
        <v>1</v>
      </c>
      <c r="K617" s="66">
        <v>0</v>
      </c>
      <c r="L617" s="69">
        <v>16933</v>
      </c>
      <c r="M617" s="64">
        <v>0</v>
      </c>
      <c r="N617" s="67">
        <v>0</v>
      </c>
      <c r="O617" s="64">
        <f t="shared" si="18"/>
        <v>16933</v>
      </c>
      <c r="P617" s="64">
        <f t="shared" si="19"/>
        <v>29.5</v>
      </c>
    </row>
    <row r="618" spans="1:16" ht="15">
      <c r="A618" s="3" t="str">
        <f>"053587"</f>
        <v>053587</v>
      </c>
      <c r="B618" s="3" t="s">
        <v>2812</v>
      </c>
      <c r="C618" s="61" t="s">
        <v>3274</v>
      </c>
      <c r="D618" s="3" t="s">
        <v>3249</v>
      </c>
      <c r="E618" s="3">
        <v>1</v>
      </c>
      <c r="F618" s="3" t="s">
        <v>3220</v>
      </c>
      <c r="G618" s="9">
        <v>875</v>
      </c>
      <c r="H618" s="66">
        <v>25812.5</v>
      </c>
      <c r="I618" s="9">
        <v>907.04079999999999</v>
      </c>
      <c r="J618" s="10">
        <v>1.0366180571428572</v>
      </c>
      <c r="K618" s="66">
        <v>1692.2441094541036</v>
      </c>
      <c r="L618" s="69">
        <v>27504.744109454103</v>
      </c>
      <c r="M618" s="64">
        <v>0</v>
      </c>
      <c r="N618" s="67">
        <v>0</v>
      </c>
      <c r="O618" s="64">
        <f t="shared" si="18"/>
        <v>27504.744109454103</v>
      </c>
      <c r="P618" s="64">
        <f t="shared" si="19"/>
        <v>31.433993267947546</v>
      </c>
    </row>
    <row r="619" spans="1:16" ht="15">
      <c r="A619" s="3" t="str">
        <f>"057901"</f>
        <v>057901</v>
      </c>
      <c r="B619" s="3" t="s">
        <v>3033</v>
      </c>
      <c r="C619" s="61" t="s">
        <v>3274</v>
      </c>
      <c r="D619" s="3" t="s">
        <v>3249</v>
      </c>
      <c r="E619" s="3">
        <v>1</v>
      </c>
      <c r="F619" s="3" t="s">
        <v>3220</v>
      </c>
      <c r="G619" s="9">
        <v>494</v>
      </c>
      <c r="H619" s="66">
        <v>14573</v>
      </c>
      <c r="I619" s="9">
        <v>644.78719999999998</v>
      </c>
      <c r="J619" s="10">
        <v>1.3052372469635627</v>
      </c>
      <c r="K619" s="66">
        <v>7963.8695345021924</v>
      </c>
      <c r="L619" s="69">
        <v>22536.869534502192</v>
      </c>
      <c r="M619" s="64">
        <v>0</v>
      </c>
      <c r="N619" s="67">
        <v>0</v>
      </c>
      <c r="O619" s="64">
        <f t="shared" si="18"/>
        <v>22536.869534502192</v>
      </c>
      <c r="P619" s="64">
        <f t="shared" si="19"/>
        <v>45.621193389680549</v>
      </c>
    </row>
    <row r="620" spans="1:16" ht="15">
      <c r="A620" s="3" t="str">
        <f>"057950"</f>
        <v>057950</v>
      </c>
      <c r="B620" s="3" t="s">
        <v>2694</v>
      </c>
      <c r="C620" s="61" t="s">
        <v>3274</v>
      </c>
      <c r="D620" s="3" t="s">
        <v>3249</v>
      </c>
      <c r="E620" s="3">
        <v>1</v>
      </c>
      <c r="F620" s="3" t="s">
        <v>3220</v>
      </c>
      <c r="G620" s="9">
        <v>145</v>
      </c>
      <c r="H620" s="66">
        <v>4277.5</v>
      </c>
      <c r="I620" s="9">
        <v>148.68700000000001</v>
      </c>
      <c r="J620" s="10">
        <v>1.0254275862068967</v>
      </c>
      <c r="K620" s="66">
        <v>194.72997027406623</v>
      </c>
      <c r="L620" s="69">
        <v>4472.2299702740665</v>
      </c>
      <c r="M620" s="64">
        <v>0</v>
      </c>
      <c r="N620" s="67">
        <v>0</v>
      </c>
      <c r="O620" s="64">
        <f t="shared" si="18"/>
        <v>4472.2299702740665</v>
      </c>
      <c r="P620" s="64">
        <f t="shared" si="19"/>
        <v>30.842965312234941</v>
      </c>
    </row>
    <row r="621" spans="1:16" ht="15">
      <c r="A621" s="3" t="str">
        <f>"058008"</f>
        <v>058008</v>
      </c>
      <c r="B621" s="3" t="s">
        <v>2689</v>
      </c>
      <c r="C621" s="61" t="s">
        <v>3274</v>
      </c>
      <c r="D621" s="3" t="s">
        <v>3249</v>
      </c>
      <c r="E621" s="3">
        <v>1</v>
      </c>
      <c r="F621" s="3" t="s">
        <v>3220</v>
      </c>
      <c r="G621" s="9">
        <v>336</v>
      </c>
      <c r="H621" s="66">
        <v>9912</v>
      </c>
      <c r="I621" s="9">
        <v>379.77179999999998</v>
      </c>
      <c r="J621" s="10">
        <v>1.1302732142857141</v>
      </c>
      <c r="K621" s="66">
        <v>2311.8202638574294</v>
      </c>
      <c r="L621" s="69">
        <v>12223.820263857429</v>
      </c>
      <c r="M621" s="64">
        <v>0</v>
      </c>
      <c r="N621" s="67">
        <v>0</v>
      </c>
      <c r="O621" s="64">
        <f t="shared" si="18"/>
        <v>12223.820263857429</v>
      </c>
      <c r="P621" s="64">
        <f t="shared" si="19"/>
        <v>36.380417451956632</v>
      </c>
    </row>
    <row r="622" spans="1:16" ht="15">
      <c r="A622" s="3" t="str">
        <f>"058057"</f>
        <v>058057</v>
      </c>
      <c r="B622" s="3" t="s">
        <v>3030</v>
      </c>
      <c r="C622" s="61" t="s">
        <v>3274</v>
      </c>
      <c r="D622" s="3" t="s">
        <v>3249</v>
      </c>
      <c r="E622" s="3">
        <v>1</v>
      </c>
      <c r="F622" s="3" t="s">
        <v>3220</v>
      </c>
      <c r="G622" s="9">
        <v>250</v>
      </c>
      <c r="H622" s="66">
        <v>7375</v>
      </c>
      <c r="I622" s="9">
        <v>319.1764</v>
      </c>
      <c r="J622" s="10">
        <v>1.2767056000000001</v>
      </c>
      <c r="K622" s="66">
        <v>3653.5715529337867</v>
      </c>
      <c r="L622" s="69">
        <v>11028.571552933787</v>
      </c>
      <c r="M622" s="64">
        <v>0</v>
      </c>
      <c r="N622" s="67">
        <v>0</v>
      </c>
      <c r="O622" s="64">
        <f t="shared" si="18"/>
        <v>11028.571552933787</v>
      </c>
      <c r="P622" s="64">
        <f t="shared" si="19"/>
        <v>44.114286211735148</v>
      </c>
    </row>
    <row r="623" spans="1:16" ht="15">
      <c r="A623" s="3" t="str">
        <f>"058065"</f>
        <v>058065</v>
      </c>
      <c r="B623" s="3" t="s">
        <v>2906</v>
      </c>
      <c r="C623" s="61" t="s">
        <v>3274</v>
      </c>
      <c r="D623" s="3" t="s">
        <v>3249</v>
      </c>
      <c r="E623" s="3">
        <v>1</v>
      </c>
      <c r="F623" s="3" t="s">
        <v>3220</v>
      </c>
      <c r="G623" s="9">
        <v>569</v>
      </c>
      <c r="H623" s="66">
        <v>16785.5</v>
      </c>
      <c r="I623" s="9">
        <v>595.54639999999995</v>
      </c>
      <c r="J623" s="10">
        <v>1.0466544815465728</v>
      </c>
      <c r="K623" s="66">
        <v>1402.0557859732696</v>
      </c>
      <c r="L623" s="69">
        <v>18187.555785973269</v>
      </c>
      <c r="M623" s="64">
        <v>0</v>
      </c>
      <c r="N623" s="67">
        <v>0</v>
      </c>
      <c r="O623" s="64">
        <f t="shared" si="18"/>
        <v>18187.555785973269</v>
      </c>
      <c r="P623" s="64">
        <f t="shared" si="19"/>
        <v>31.964069922624375</v>
      </c>
    </row>
    <row r="624" spans="1:16" ht="15">
      <c r="A624" s="3" t="str">
        <f>"058073"</f>
        <v>058073</v>
      </c>
      <c r="B624" s="3" t="s">
        <v>2614</v>
      </c>
      <c r="C624" s="61" t="s">
        <v>3274</v>
      </c>
      <c r="D624" s="3" t="s">
        <v>3249</v>
      </c>
      <c r="E624" s="3">
        <v>1</v>
      </c>
      <c r="F624" s="3" t="s">
        <v>3220</v>
      </c>
      <c r="G624" s="9">
        <v>275</v>
      </c>
      <c r="H624" s="66">
        <v>8112.5</v>
      </c>
      <c r="I624" s="9">
        <v>298.5</v>
      </c>
      <c r="J624" s="10">
        <v>1.0854545454545454</v>
      </c>
      <c r="K624" s="66">
        <v>1241.1592897858804</v>
      </c>
      <c r="L624" s="69">
        <v>9353.6592897858809</v>
      </c>
      <c r="M624" s="64">
        <v>0</v>
      </c>
      <c r="N624" s="67">
        <v>0</v>
      </c>
      <c r="O624" s="64">
        <f t="shared" si="18"/>
        <v>9353.6592897858809</v>
      </c>
      <c r="P624" s="64">
        <f t="shared" si="19"/>
        <v>34.013306508312297</v>
      </c>
    </row>
    <row r="625" spans="1:16" ht="15">
      <c r="A625" s="3" t="str">
        <f>"058081"</f>
        <v>058081</v>
      </c>
      <c r="B625" s="3" t="s">
        <v>2756</v>
      </c>
      <c r="C625" s="61" t="s">
        <v>3274</v>
      </c>
      <c r="D625" s="3" t="s">
        <v>3249</v>
      </c>
      <c r="E625" s="3">
        <v>1</v>
      </c>
      <c r="F625" s="3" t="s">
        <v>3220</v>
      </c>
      <c r="G625" s="9">
        <v>383</v>
      </c>
      <c r="H625" s="66">
        <v>11298.5</v>
      </c>
      <c r="I625" s="9">
        <v>402.97239999999999</v>
      </c>
      <c r="J625" s="10">
        <v>1.0521472584856397</v>
      </c>
      <c r="K625" s="66">
        <v>1054.8480765667878</v>
      </c>
      <c r="L625" s="69">
        <v>12353.348076566788</v>
      </c>
      <c r="M625" s="64">
        <v>0</v>
      </c>
      <c r="N625" s="67">
        <v>0</v>
      </c>
      <c r="O625" s="64">
        <f t="shared" si="18"/>
        <v>12353.348076566788</v>
      </c>
      <c r="P625" s="64">
        <f t="shared" si="19"/>
        <v>32.254172523673077</v>
      </c>
    </row>
    <row r="626" spans="1:16" ht="15">
      <c r="A626" s="3" t="str">
        <f>"060921"</f>
        <v>060921</v>
      </c>
      <c r="B626" s="3" t="s">
        <v>2590</v>
      </c>
      <c r="C626" s="61" t="s">
        <v>3274</v>
      </c>
      <c r="D626" s="3" t="s">
        <v>3249</v>
      </c>
      <c r="E626" s="3">
        <v>1</v>
      </c>
      <c r="F626" s="3" t="s">
        <v>3220</v>
      </c>
      <c r="G626" s="9">
        <v>100</v>
      </c>
      <c r="H626" s="66">
        <v>2950</v>
      </c>
      <c r="I626" s="9">
        <v>107.2</v>
      </c>
      <c r="J626" s="10">
        <v>1.0720000000000001</v>
      </c>
      <c r="K626" s="66">
        <v>380.2700802748231</v>
      </c>
      <c r="L626" s="69">
        <v>3330.2700802748232</v>
      </c>
      <c r="M626" s="64">
        <v>0</v>
      </c>
      <c r="N626" s="67">
        <v>0</v>
      </c>
      <c r="O626" s="64">
        <f t="shared" si="18"/>
        <v>3330.2700802748232</v>
      </c>
      <c r="P626" s="64">
        <f t="shared" si="19"/>
        <v>33.302700802748234</v>
      </c>
    </row>
    <row r="627" spans="1:16" ht="15">
      <c r="A627" s="3" t="str">
        <f>"058156"</f>
        <v>058156</v>
      </c>
      <c r="B627" s="3" t="s">
        <v>2821</v>
      </c>
      <c r="C627" s="61" t="s">
        <v>3274</v>
      </c>
      <c r="D627" s="3" t="s">
        <v>3249</v>
      </c>
      <c r="E627" s="3">
        <v>1</v>
      </c>
      <c r="F627" s="3" t="s">
        <v>3220</v>
      </c>
      <c r="G627" s="9">
        <v>484</v>
      </c>
      <c r="H627" s="66">
        <v>14278</v>
      </c>
      <c r="I627" s="9">
        <v>515.4212</v>
      </c>
      <c r="J627" s="10">
        <v>1.0649198347107438</v>
      </c>
      <c r="K627" s="66">
        <v>1659.5197564348982</v>
      </c>
      <c r="L627" s="69">
        <v>15937.519756434898</v>
      </c>
      <c r="M627" s="64">
        <v>0</v>
      </c>
      <c r="N627" s="67">
        <v>0</v>
      </c>
      <c r="O627" s="64">
        <f t="shared" si="18"/>
        <v>15937.519756434898</v>
      </c>
      <c r="P627" s="64">
        <f t="shared" si="19"/>
        <v>32.928759827344834</v>
      </c>
    </row>
    <row r="628" spans="1:16" ht="15">
      <c r="A628" s="3" t="str">
        <f>"058206"</f>
        <v>058206</v>
      </c>
      <c r="B628" s="3" t="s">
        <v>2910</v>
      </c>
      <c r="C628" s="61" t="s">
        <v>3274</v>
      </c>
      <c r="D628" s="3" t="s">
        <v>3249</v>
      </c>
      <c r="E628" s="3">
        <v>1</v>
      </c>
      <c r="F628" s="3" t="s">
        <v>3220</v>
      </c>
      <c r="G628" s="9">
        <v>235</v>
      </c>
      <c r="H628" s="66">
        <v>6932.5</v>
      </c>
      <c r="I628" s="9">
        <v>266.34640000000002</v>
      </c>
      <c r="J628" s="10">
        <v>1.1333889361702127</v>
      </c>
      <c r="K628" s="66">
        <v>1655.5691728231554</v>
      </c>
      <c r="L628" s="69">
        <v>8588.0691728231559</v>
      </c>
      <c r="M628" s="64">
        <v>0</v>
      </c>
      <c r="N628" s="67">
        <v>0</v>
      </c>
      <c r="O628" s="64">
        <f t="shared" si="18"/>
        <v>8588.0691728231559</v>
      </c>
      <c r="P628" s="64">
        <f t="shared" si="19"/>
        <v>36.544975203502794</v>
      </c>
    </row>
    <row r="629" spans="1:16" ht="15">
      <c r="A629" s="3" t="str">
        <f>"098533"</f>
        <v>098533</v>
      </c>
      <c r="B629" s="3" t="s">
        <v>3088</v>
      </c>
      <c r="C629" s="61" t="s">
        <v>3274</v>
      </c>
      <c r="D629" s="3" t="s">
        <v>3249</v>
      </c>
      <c r="E629" s="3">
        <v>1</v>
      </c>
      <c r="F629" s="3" t="s">
        <v>3220</v>
      </c>
      <c r="G629" s="9">
        <v>84</v>
      </c>
      <c r="H629" s="66">
        <v>2478</v>
      </c>
      <c r="I629" s="9">
        <v>84</v>
      </c>
      <c r="J629" s="10">
        <v>1</v>
      </c>
      <c r="K629" s="66">
        <v>0</v>
      </c>
      <c r="L629" s="69">
        <v>2478</v>
      </c>
      <c r="M629" s="64">
        <v>0</v>
      </c>
      <c r="N629" s="67">
        <v>0</v>
      </c>
      <c r="O629" s="64">
        <f t="shared" si="18"/>
        <v>2478</v>
      </c>
      <c r="P629" s="64">
        <f t="shared" si="19"/>
        <v>29.5</v>
      </c>
    </row>
    <row r="630" spans="1:16" ht="15">
      <c r="A630" s="3" t="s">
        <v>169</v>
      </c>
      <c r="B630" s="3" t="s">
        <v>170</v>
      </c>
      <c r="C630" s="61" t="s">
        <v>3274</v>
      </c>
      <c r="D630" s="3" t="s">
        <v>1684</v>
      </c>
      <c r="E630" s="3">
        <v>1</v>
      </c>
      <c r="F630" s="3" t="s">
        <v>3266</v>
      </c>
      <c r="G630" s="9">
        <v>335.95705900000002</v>
      </c>
      <c r="H630" s="66">
        <v>9910.7332404999997</v>
      </c>
      <c r="I630" s="9">
        <v>463.28563927604</v>
      </c>
      <c r="J630" s="10">
        <v>1.3790025447152161</v>
      </c>
      <c r="K630" s="66">
        <v>6724.8957559512455</v>
      </c>
      <c r="L630" s="69">
        <v>16635.628996451247</v>
      </c>
      <c r="M630" s="64">
        <v>0</v>
      </c>
      <c r="N630" s="67">
        <v>0</v>
      </c>
      <c r="O630" s="64">
        <f t="shared" si="18"/>
        <v>16635.628996451247</v>
      </c>
      <c r="P630" s="64">
        <f t="shared" si="19"/>
        <v>49.517128903224645</v>
      </c>
    </row>
    <row r="631" spans="1:16" ht="15">
      <c r="A631" s="3" t="s">
        <v>16</v>
      </c>
      <c r="B631" s="3" t="s">
        <v>17</v>
      </c>
      <c r="C631" s="61" t="s">
        <v>3274</v>
      </c>
      <c r="D631" s="3" t="s">
        <v>1684</v>
      </c>
      <c r="E631" s="3">
        <v>1</v>
      </c>
      <c r="F631" s="3" t="s">
        <v>3266</v>
      </c>
      <c r="G631" s="9">
        <v>58.594588000000002</v>
      </c>
      <c r="H631" s="66">
        <v>1728.540346</v>
      </c>
      <c r="I631" s="9">
        <v>118.053816762997</v>
      </c>
      <c r="J631" s="10">
        <v>2.0147563246454947</v>
      </c>
      <c r="K631" s="66">
        <v>3140.3563464977683</v>
      </c>
      <c r="L631" s="69">
        <v>4868.8966924977685</v>
      </c>
      <c r="M631" s="64">
        <v>0</v>
      </c>
      <c r="N631" s="67">
        <v>0</v>
      </c>
      <c r="O631" s="64">
        <f t="shared" si="18"/>
        <v>4868.8966924977685</v>
      </c>
      <c r="P631" s="64">
        <f t="shared" si="19"/>
        <v>83.094648476712024</v>
      </c>
    </row>
    <row r="632" spans="1:16" ht="15">
      <c r="A632" s="3" t="s">
        <v>80</v>
      </c>
      <c r="B632" s="3" t="s">
        <v>81</v>
      </c>
      <c r="C632" s="61" t="s">
        <v>3274</v>
      </c>
      <c r="D632" s="3" t="s">
        <v>1684</v>
      </c>
      <c r="E632" s="3">
        <v>1</v>
      </c>
      <c r="F632" s="3" t="s">
        <v>3266</v>
      </c>
      <c r="G632" s="9">
        <v>54.731532000000001</v>
      </c>
      <c r="H632" s="66">
        <v>1614.5801940000001</v>
      </c>
      <c r="I632" s="9">
        <v>132.02606038332701</v>
      </c>
      <c r="J632" s="10">
        <v>2.4122485806413567</v>
      </c>
      <c r="K632" s="66">
        <v>4082.332849046159</v>
      </c>
      <c r="L632" s="69">
        <v>5696.9130430461591</v>
      </c>
      <c r="M632" s="64">
        <v>0</v>
      </c>
      <c r="N632" s="67">
        <v>0</v>
      </c>
      <c r="O632" s="64">
        <f t="shared" si="18"/>
        <v>5696.9130430461591</v>
      </c>
      <c r="P632" s="64">
        <f t="shared" si="19"/>
        <v>104.0883168234019</v>
      </c>
    </row>
    <row r="633" spans="1:16" ht="15">
      <c r="A633" s="3" t="s">
        <v>84</v>
      </c>
      <c r="B633" s="3" t="s">
        <v>85</v>
      </c>
      <c r="C633" s="61" t="s">
        <v>3274</v>
      </c>
      <c r="D633" s="3" t="s">
        <v>1684</v>
      </c>
      <c r="E633" s="3">
        <v>1</v>
      </c>
      <c r="F633" s="3" t="s">
        <v>3266</v>
      </c>
      <c r="G633" s="9">
        <v>56.249271</v>
      </c>
      <c r="H633" s="66">
        <v>1659.3534944999999</v>
      </c>
      <c r="I633" s="9">
        <v>163.60134546466401</v>
      </c>
      <c r="J633" s="10">
        <v>2.9085060580547615</v>
      </c>
      <c r="K633" s="66">
        <v>5669.8308297703552</v>
      </c>
      <c r="L633" s="69">
        <v>7329.1843242703553</v>
      </c>
      <c r="M633" s="64">
        <v>0</v>
      </c>
      <c r="N633" s="67">
        <v>0</v>
      </c>
      <c r="O633" s="64">
        <f t="shared" si="18"/>
        <v>7329.1843242703553</v>
      </c>
      <c r="P633" s="64">
        <f t="shared" si="19"/>
        <v>130.29829887520418</v>
      </c>
    </row>
    <row r="634" spans="1:16" ht="15">
      <c r="A634" s="3" t="str">
        <f>"126417"</f>
        <v>126417</v>
      </c>
      <c r="B634" s="3" t="s">
        <v>2616</v>
      </c>
      <c r="C634" s="61" t="s">
        <v>3274</v>
      </c>
      <c r="D634" s="3" t="s">
        <v>3249</v>
      </c>
      <c r="E634" s="3">
        <v>1</v>
      </c>
      <c r="F634" s="3" t="s">
        <v>3220</v>
      </c>
      <c r="G634" s="9">
        <v>394</v>
      </c>
      <c r="H634" s="66">
        <v>11623</v>
      </c>
      <c r="I634" s="9">
        <v>408.1</v>
      </c>
      <c r="J634" s="10">
        <v>1.0357868020304568</v>
      </c>
      <c r="K634" s="66">
        <v>744.69557387152952</v>
      </c>
      <c r="L634" s="69">
        <v>12367.69557387153</v>
      </c>
      <c r="M634" s="64">
        <v>0</v>
      </c>
      <c r="N634" s="67">
        <v>0</v>
      </c>
      <c r="O634" s="64">
        <f t="shared" si="18"/>
        <v>12367.69557387153</v>
      </c>
      <c r="P634" s="64">
        <f t="shared" si="19"/>
        <v>31.390090289014033</v>
      </c>
    </row>
    <row r="635" spans="1:16" ht="15">
      <c r="A635" s="3" t="s">
        <v>251</v>
      </c>
      <c r="B635" s="3" t="s">
        <v>1799</v>
      </c>
      <c r="C635" s="61" t="s">
        <v>3274</v>
      </c>
      <c r="D635" s="3" t="s">
        <v>1684</v>
      </c>
      <c r="E635" s="3">
        <v>1</v>
      </c>
      <c r="F635" s="3" t="s">
        <v>3266</v>
      </c>
      <c r="G635" s="9">
        <v>304.45137099999999</v>
      </c>
      <c r="H635" s="66">
        <v>8981.3154445</v>
      </c>
      <c r="I635" s="9">
        <v>417.76925294631098</v>
      </c>
      <c r="J635" s="10">
        <v>1.3722035528173431</v>
      </c>
      <c r="K635" s="66">
        <v>5984.9166755967499</v>
      </c>
      <c r="L635" s="69">
        <v>14966.232120096749</v>
      </c>
      <c r="M635" s="64">
        <v>0</v>
      </c>
      <c r="N635" s="67">
        <v>0</v>
      </c>
      <c r="O635" s="64">
        <f t="shared" si="18"/>
        <v>14966.232120096749</v>
      </c>
      <c r="P635" s="64">
        <f t="shared" si="19"/>
        <v>49.158038181725743</v>
      </c>
    </row>
    <row r="636" spans="1:16" ht="15">
      <c r="A636" s="3" t="str">
        <f>"017232"</f>
        <v>017232</v>
      </c>
      <c r="B636" s="3" t="s">
        <v>2607</v>
      </c>
      <c r="C636" s="61" t="s">
        <v>3274</v>
      </c>
      <c r="D636" s="3" t="s">
        <v>3249</v>
      </c>
      <c r="E636" s="3">
        <v>1</v>
      </c>
      <c r="F636" s="3" t="s">
        <v>3220</v>
      </c>
      <c r="G636" s="9">
        <v>47</v>
      </c>
      <c r="H636" s="66">
        <v>1386.5</v>
      </c>
      <c r="I636" s="9">
        <v>47</v>
      </c>
      <c r="J636" s="10">
        <v>1</v>
      </c>
      <c r="K636" s="66">
        <v>0</v>
      </c>
      <c r="L636" s="69">
        <v>1386.5</v>
      </c>
      <c r="M636" s="64">
        <v>0</v>
      </c>
      <c r="N636" s="67">
        <v>0</v>
      </c>
      <c r="O636" s="64">
        <f t="shared" si="18"/>
        <v>1386.5</v>
      </c>
      <c r="P636" s="64">
        <f t="shared" si="19"/>
        <v>29.5</v>
      </c>
    </row>
    <row r="637" spans="1:16" ht="15">
      <c r="A637" s="3" t="str">
        <f>"017487"</f>
        <v>017487</v>
      </c>
      <c r="B637" s="3" t="s">
        <v>2605</v>
      </c>
      <c r="C637" s="61" t="s">
        <v>3274</v>
      </c>
      <c r="D637" s="3" t="s">
        <v>3249</v>
      </c>
      <c r="E637" s="3">
        <v>1</v>
      </c>
      <c r="F637" s="3" t="s">
        <v>3220</v>
      </c>
      <c r="G637" s="9">
        <v>43</v>
      </c>
      <c r="H637" s="66">
        <v>1268.5</v>
      </c>
      <c r="I637" s="9">
        <v>43</v>
      </c>
      <c r="J637" s="10">
        <v>1</v>
      </c>
      <c r="K637" s="66">
        <v>0</v>
      </c>
      <c r="L637" s="69">
        <v>1268.5</v>
      </c>
      <c r="M637" s="64">
        <v>0</v>
      </c>
      <c r="N637" s="67">
        <v>0</v>
      </c>
      <c r="O637" s="64">
        <f t="shared" si="18"/>
        <v>1268.5</v>
      </c>
      <c r="P637" s="64">
        <f t="shared" si="19"/>
        <v>29.5</v>
      </c>
    </row>
    <row r="638" spans="1:16" ht="15">
      <c r="A638" s="3" t="str">
        <f>"090209"</f>
        <v>090209</v>
      </c>
      <c r="B638" s="3" t="s">
        <v>2776</v>
      </c>
      <c r="C638" s="61" t="s">
        <v>3274</v>
      </c>
      <c r="D638" s="3" t="s">
        <v>3249</v>
      </c>
      <c r="E638" s="3">
        <v>1</v>
      </c>
      <c r="F638" s="3" t="s">
        <v>3220</v>
      </c>
      <c r="G638" s="9">
        <v>625</v>
      </c>
      <c r="H638" s="66">
        <v>18437.5</v>
      </c>
      <c r="I638" s="9">
        <v>634.58619999999996</v>
      </c>
      <c r="J638" s="10">
        <v>1.0153379199999999</v>
      </c>
      <c r="K638" s="66">
        <v>506.29792271256861</v>
      </c>
      <c r="L638" s="69">
        <v>18943.797922712569</v>
      </c>
      <c r="M638" s="64">
        <v>0</v>
      </c>
      <c r="N638" s="67">
        <v>0</v>
      </c>
      <c r="O638" s="64">
        <f t="shared" si="18"/>
        <v>18943.797922712569</v>
      </c>
      <c r="P638" s="64">
        <f t="shared" si="19"/>
        <v>30.31007667634011</v>
      </c>
    </row>
    <row r="639" spans="1:16" ht="15">
      <c r="A639" s="3" t="str">
        <f>"013835"</f>
        <v>013835</v>
      </c>
      <c r="B639" s="3" t="s">
        <v>3027</v>
      </c>
      <c r="C639" s="61" t="s">
        <v>3274</v>
      </c>
      <c r="D639" s="3" t="s">
        <v>3249</v>
      </c>
      <c r="E639" s="3">
        <v>1</v>
      </c>
      <c r="F639" s="3" t="s">
        <v>3220</v>
      </c>
      <c r="G639" s="9">
        <v>102</v>
      </c>
      <c r="H639" s="66">
        <v>3009</v>
      </c>
      <c r="I639" s="9">
        <v>132.79500000000002</v>
      </c>
      <c r="J639" s="10">
        <v>1.3019117647058824</v>
      </c>
      <c r="K639" s="66">
        <v>1626.4468225087751</v>
      </c>
      <c r="L639" s="69">
        <v>4635.4468225087749</v>
      </c>
      <c r="M639" s="64">
        <v>0</v>
      </c>
      <c r="N639" s="67">
        <v>0</v>
      </c>
      <c r="O639" s="64">
        <f t="shared" si="18"/>
        <v>4635.4468225087749</v>
      </c>
      <c r="P639" s="64">
        <f t="shared" si="19"/>
        <v>45.445557083419359</v>
      </c>
    </row>
    <row r="640" spans="1:16" ht="15">
      <c r="A640" s="3" t="str">
        <f>"132373"</f>
        <v>132373</v>
      </c>
      <c r="B640" s="3" t="s">
        <v>3051</v>
      </c>
      <c r="C640" s="61" t="s">
        <v>3274</v>
      </c>
      <c r="D640" s="3" t="s">
        <v>3249</v>
      </c>
      <c r="E640" s="3">
        <v>1</v>
      </c>
      <c r="F640" s="3" t="s">
        <v>3220</v>
      </c>
      <c r="G640" s="9">
        <v>118</v>
      </c>
      <c r="H640" s="66">
        <v>3481</v>
      </c>
      <c r="I640" s="9">
        <v>118</v>
      </c>
      <c r="J640" s="10">
        <v>1</v>
      </c>
      <c r="K640" s="66">
        <v>0</v>
      </c>
      <c r="L640" s="69">
        <v>3481</v>
      </c>
      <c r="M640" s="64">
        <v>0</v>
      </c>
      <c r="N640" s="67">
        <v>0</v>
      </c>
      <c r="O640" s="64">
        <f t="shared" si="18"/>
        <v>3481</v>
      </c>
      <c r="P640" s="64">
        <f t="shared" si="19"/>
        <v>29.5</v>
      </c>
    </row>
    <row r="641" spans="1:16" ht="15">
      <c r="A641" s="3" t="str">
        <f>"083923"</f>
        <v>083923</v>
      </c>
      <c r="B641" s="3" t="s">
        <v>3110</v>
      </c>
      <c r="C641" s="61" t="s">
        <v>3274</v>
      </c>
      <c r="D641" s="3" t="s">
        <v>3249</v>
      </c>
      <c r="E641" s="3">
        <v>1</v>
      </c>
      <c r="F641" s="3" t="s">
        <v>3220</v>
      </c>
      <c r="G641" s="9">
        <v>144</v>
      </c>
      <c r="H641" s="66">
        <v>4248</v>
      </c>
      <c r="I641" s="9">
        <v>144</v>
      </c>
      <c r="J641" s="10">
        <v>1</v>
      </c>
      <c r="K641" s="66">
        <v>0</v>
      </c>
      <c r="L641" s="69">
        <v>4248</v>
      </c>
      <c r="M641" s="64">
        <v>0</v>
      </c>
      <c r="N641" s="67">
        <v>0</v>
      </c>
      <c r="O641" s="64">
        <f t="shared" si="18"/>
        <v>4248</v>
      </c>
      <c r="P641" s="64">
        <f t="shared" si="19"/>
        <v>29.5</v>
      </c>
    </row>
    <row r="642" spans="1:16" ht="15">
      <c r="A642" s="3" t="str">
        <f>"088062"</f>
        <v>088062</v>
      </c>
      <c r="B642" s="3" t="s">
        <v>3107</v>
      </c>
      <c r="C642" s="61" t="s">
        <v>3274</v>
      </c>
      <c r="D642" s="3" t="s">
        <v>3249</v>
      </c>
      <c r="E642" s="3">
        <v>1</v>
      </c>
      <c r="F642" s="3" t="s">
        <v>3220</v>
      </c>
      <c r="G642" s="9">
        <v>311</v>
      </c>
      <c r="H642" s="66">
        <v>9174.5</v>
      </c>
      <c r="I642" s="9">
        <v>311</v>
      </c>
      <c r="J642" s="10">
        <v>1</v>
      </c>
      <c r="K642" s="66">
        <v>0</v>
      </c>
      <c r="L642" s="69">
        <v>9174.5</v>
      </c>
      <c r="M642" s="64">
        <v>0</v>
      </c>
      <c r="N642" s="67">
        <v>0</v>
      </c>
      <c r="O642" s="64">
        <f t="shared" si="18"/>
        <v>9174.5</v>
      </c>
      <c r="P642" s="64">
        <f t="shared" si="19"/>
        <v>29.5</v>
      </c>
    </row>
    <row r="643" spans="1:16" ht="15">
      <c r="A643" s="3" t="str">
        <f>"057869"</f>
        <v>057869</v>
      </c>
      <c r="B643" s="3" t="s">
        <v>2811</v>
      </c>
      <c r="C643" s="61" t="s">
        <v>3274</v>
      </c>
      <c r="D643" s="3" t="s">
        <v>3249</v>
      </c>
      <c r="E643" s="3">
        <v>1</v>
      </c>
      <c r="F643" s="3" t="s">
        <v>3220</v>
      </c>
      <c r="G643" s="9">
        <v>155</v>
      </c>
      <c r="H643" s="66">
        <v>4572.5</v>
      </c>
      <c r="I643" s="9">
        <v>169.761</v>
      </c>
      <c r="J643" s="10">
        <v>1.0952322580645162</v>
      </c>
      <c r="K643" s="66">
        <v>779.60647985231401</v>
      </c>
      <c r="L643" s="69">
        <v>5352.1064798523139</v>
      </c>
      <c r="M643" s="64">
        <v>0</v>
      </c>
      <c r="N643" s="67">
        <v>0</v>
      </c>
      <c r="O643" s="64">
        <f t="shared" ref="O643:O706" si="20">(N643+L643)</f>
        <v>5352.1064798523139</v>
      </c>
      <c r="P643" s="64">
        <f t="shared" ref="P643:P706" si="21">O643/G643</f>
        <v>34.529719224853636</v>
      </c>
    </row>
    <row r="644" spans="1:16" ht="15">
      <c r="A644" s="3" t="s">
        <v>316</v>
      </c>
      <c r="B644" s="3" t="s">
        <v>317</v>
      </c>
      <c r="C644" s="61" t="s">
        <v>3274</v>
      </c>
      <c r="D644" s="3" t="s">
        <v>1684</v>
      </c>
      <c r="E644" s="3">
        <v>1</v>
      </c>
      <c r="F644" s="3" t="s">
        <v>3266</v>
      </c>
      <c r="G644" s="9">
        <v>296.53845799999999</v>
      </c>
      <c r="H644" s="66">
        <v>8747.8845110000002</v>
      </c>
      <c r="I644" s="9">
        <v>391.98667329577</v>
      </c>
      <c r="J644" s="10">
        <v>1.3218746598317106</v>
      </c>
      <c r="K644" s="66">
        <v>5041.1250684182014</v>
      </c>
      <c r="L644" s="69">
        <v>13789.009579418202</v>
      </c>
      <c r="M644" s="64">
        <v>0</v>
      </c>
      <c r="N644" s="67">
        <v>0</v>
      </c>
      <c r="O644" s="64">
        <f t="shared" si="20"/>
        <v>13789.009579418202</v>
      </c>
      <c r="P644" s="64">
        <f t="shared" si="21"/>
        <v>46.499903157310548</v>
      </c>
    </row>
    <row r="645" spans="1:16" ht="15">
      <c r="A645" s="3" t="s">
        <v>1760</v>
      </c>
      <c r="B645" s="3" t="s">
        <v>1761</v>
      </c>
      <c r="C645" s="61" t="s">
        <v>3274</v>
      </c>
      <c r="D645" s="3" t="s">
        <v>1684</v>
      </c>
      <c r="E645" s="3">
        <v>1</v>
      </c>
      <c r="F645" s="3" t="s">
        <v>3266</v>
      </c>
      <c r="G645" s="9">
        <v>97.428713999999999</v>
      </c>
      <c r="H645" s="66">
        <v>2874.1470629999999</v>
      </c>
      <c r="I645" s="9">
        <v>135.34218001744301</v>
      </c>
      <c r="J645" s="10">
        <v>1.3891405773604177</v>
      </c>
      <c r="K645" s="66">
        <v>2002.4106619374761</v>
      </c>
      <c r="L645" s="69">
        <v>4876.5577249374765</v>
      </c>
      <c r="M645" s="64">
        <v>0</v>
      </c>
      <c r="N645" s="67">
        <v>0</v>
      </c>
      <c r="O645" s="64">
        <f t="shared" si="20"/>
        <v>4876.5577249374765</v>
      </c>
      <c r="P645" s="64">
        <f t="shared" si="21"/>
        <v>50.052572026532921</v>
      </c>
    </row>
    <row r="646" spans="1:16" ht="15">
      <c r="A646" s="3" t="s">
        <v>810</v>
      </c>
      <c r="B646" s="3" t="s">
        <v>811</v>
      </c>
      <c r="C646" s="61" t="s">
        <v>3274</v>
      </c>
      <c r="D646" s="3" t="s">
        <v>3248</v>
      </c>
      <c r="E646" s="3">
        <v>1</v>
      </c>
      <c r="F646" s="3" t="s">
        <v>1907</v>
      </c>
      <c r="G646" s="9">
        <v>5892.7177869999996</v>
      </c>
      <c r="H646" s="66">
        <v>173835.17471649998</v>
      </c>
      <c r="I646" s="9">
        <v>7095.17435472118</v>
      </c>
      <c r="J646" s="10">
        <v>1.2040580613539538</v>
      </c>
      <c r="K646" s="66">
        <v>63508.091046433525</v>
      </c>
      <c r="L646" s="69">
        <v>237343.2657629335</v>
      </c>
      <c r="M646" s="64">
        <v>1124005.3859282536</v>
      </c>
      <c r="N646" s="67">
        <v>22529.903047619478</v>
      </c>
      <c r="O646" s="64">
        <f t="shared" si="20"/>
        <v>259873.16881055298</v>
      </c>
      <c r="P646" s="64">
        <f t="shared" si="21"/>
        <v>44.100732158574182</v>
      </c>
    </row>
    <row r="647" spans="1:16" ht="15">
      <c r="A647" s="3" t="s">
        <v>830</v>
      </c>
      <c r="B647" s="3" t="s">
        <v>831</v>
      </c>
      <c r="C647" s="61" t="s">
        <v>3274</v>
      </c>
      <c r="D647" s="3" t="s">
        <v>3248</v>
      </c>
      <c r="E647" s="3">
        <v>1</v>
      </c>
      <c r="F647" s="3" t="s">
        <v>1907</v>
      </c>
      <c r="G647" s="9">
        <v>14821.638197</v>
      </c>
      <c r="H647" s="66">
        <v>437238.32681150001</v>
      </c>
      <c r="I647" s="9">
        <v>18449.790586475199</v>
      </c>
      <c r="J647" s="10">
        <v>1.2447875424600205</v>
      </c>
      <c r="K647" s="66">
        <v>191621.91672153122</v>
      </c>
      <c r="L647" s="69">
        <v>628860.2435330312</v>
      </c>
      <c r="M647" s="64">
        <v>7861099.093154544</v>
      </c>
      <c r="N647" s="67">
        <v>157570.24177445212</v>
      </c>
      <c r="O647" s="64">
        <f t="shared" si="20"/>
        <v>786430.48530748335</v>
      </c>
      <c r="P647" s="64">
        <f t="shared" si="21"/>
        <v>53.059619648971207</v>
      </c>
    </row>
    <row r="648" spans="1:16" ht="15">
      <c r="A648" s="3" t="s">
        <v>122</v>
      </c>
      <c r="B648" s="3" t="s">
        <v>123</v>
      </c>
      <c r="C648" s="61" t="s">
        <v>3274</v>
      </c>
      <c r="D648" s="3" t="s">
        <v>1684</v>
      </c>
      <c r="E648" s="3">
        <v>1</v>
      </c>
      <c r="F648" s="3" t="s">
        <v>3266</v>
      </c>
      <c r="G648" s="9">
        <v>224.70890600000001</v>
      </c>
      <c r="H648" s="66">
        <v>6628.9127270000008</v>
      </c>
      <c r="I648" s="9">
        <v>314.489362433591</v>
      </c>
      <c r="J648" s="10">
        <v>1.3995411576325816</v>
      </c>
      <c r="K648" s="66">
        <v>4741.7807465433179</v>
      </c>
      <c r="L648" s="69">
        <v>11370.693473543319</v>
      </c>
      <c r="M648" s="64">
        <v>0</v>
      </c>
      <c r="N648" s="67">
        <v>0</v>
      </c>
      <c r="O648" s="64">
        <f t="shared" si="20"/>
        <v>11370.693473543319</v>
      </c>
      <c r="P648" s="64">
        <f t="shared" si="21"/>
        <v>50.601881678616323</v>
      </c>
    </row>
    <row r="649" spans="1:16" ht="15">
      <c r="A649" s="3" t="s">
        <v>1721</v>
      </c>
      <c r="B649" s="3" t="s">
        <v>1722</v>
      </c>
      <c r="C649" s="61" t="s">
        <v>3274</v>
      </c>
      <c r="D649" s="3" t="s">
        <v>1684</v>
      </c>
      <c r="E649" s="3">
        <v>1</v>
      </c>
      <c r="F649" s="3" t="s">
        <v>3266</v>
      </c>
      <c r="G649" s="9">
        <v>224.69820999999999</v>
      </c>
      <c r="H649" s="66">
        <v>6628.5971949999994</v>
      </c>
      <c r="I649" s="9">
        <v>562.77841017235096</v>
      </c>
      <c r="J649" s="10">
        <v>2.5045967663576447</v>
      </c>
      <c r="K649" s="66">
        <v>17855.80345262057</v>
      </c>
      <c r="L649" s="69">
        <v>24484.400647620569</v>
      </c>
      <c r="M649" s="64">
        <v>0</v>
      </c>
      <c r="N649" s="67">
        <v>0</v>
      </c>
      <c r="O649" s="64">
        <f t="shared" si="20"/>
        <v>24484.400647620569</v>
      </c>
      <c r="P649" s="64">
        <f t="shared" si="21"/>
        <v>108.96571293389729</v>
      </c>
    </row>
    <row r="650" spans="1:16" ht="15">
      <c r="A650" s="3" t="s">
        <v>836</v>
      </c>
      <c r="B650" s="3" t="s">
        <v>837</v>
      </c>
      <c r="C650" s="61" t="s">
        <v>3274</v>
      </c>
      <c r="D650" s="3" t="s">
        <v>3248</v>
      </c>
      <c r="E650" s="3">
        <v>1</v>
      </c>
      <c r="F650" s="3" t="s">
        <v>1909</v>
      </c>
      <c r="G650" s="9">
        <v>3477.0773079999999</v>
      </c>
      <c r="H650" s="66">
        <v>102573.78058599999</v>
      </c>
      <c r="I650" s="9">
        <v>5048.14834344067</v>
      </c>
      <c r="J650" s="10">
        <v>1.4518366709379675</v>
      </c>
      <c r="K650" s="66">
        <v>82976.570661732345</v>
      </c>
      <c r="L650" s="69">
        <v>185550.35124773235</v>
      </c>
      <c r="M650" s="64">
        <v>925223.94594088139</v>
      </c>
      <c r="N650" s="67">
        <v>18545.467895751306</v>
      </c>
      <c r="O650" s="64">
        <f t="shared" si="20"/>
        <v>204095.81914348365</v>
      </c>
      <c r="P650" s="64">
        <f t="shared" si="21"/>
        <v>58.697521241159485</v>
      </c>
    </row>
    <row r="651" spans="1:16" ht="15">
      <c r="A651" s="3" t="s">
        <v>49</v>
      </c>
      <c r="B651" s="3" t="s">
        <v>1766</v>
      </c>
      <c r="C651" s="61" t="s">
        <v>3274</v>
      </c>
      <c r="D651" s="3" t="s">
        <v>1684</v>
      </c>
      <c r="E651" s="3">
        <v>1</v>
      </c>
      <c r="F651" s="3" t="s">
        <v>3266</v>
      </c>
      <c r="G651" s="9">
        <v>300.680725</v>
      </c>
      <c r="H651" s="66">
        <v>8870.0813875000003</v>
      </c>
      <c r="I651" s="9">
        <v>452.76543770535699</v>
      </c>
      <c r="J651" s="10">
        <v>1.5058013369674994</v>
      </c>
      <c r="K651" s="66">
        <v>8032.3980429221519</v>
      </c>
      <c r="L651" s="69">
        <v>16902.47943042215</v>
      </c>
      <c r="M651" s="64">
        <v>0</v>
      </c>
      <c r="N651" s="67">
        <v>0</v>
      </c>
      <c r="O651" s="64">
        <f t="shared" si="20"/>
        <v>16902.47943042215</v>
      </c>
      <c r="P651" s="64">
        <f t="shared" si="21"/>
        <v>56.214043751631074</v>
      </c>
    </row>
    <row r="652" spans="1:16" ht="15">
      <c r="A652" s="3" t="str">
        <f>"008163"</f>
        <v>008163</v>
      </c>
      <c r="B652" s="3" t="s">
        <v>2624</v>
      </c>
      <c r="C652" s="61" t="s">
        <v>3274</v>
      </c>
      <c r="D652" s="3" t="s">
        <v>3249</v>
      </c>
      <c r="E652" s="3">
        <v>1</v>
      </c>
      <c r="F652" s="3" t="s">
        <v>3220</v>
      </c>
      <c r="G652" s="9">
        <v>83</v>
      </c>
      <c r="H652" s="66">
        <v>2448.5</v>
      </c>
      <c r="I652" s="9">
        <v>88.5</v>
      </c>
      <c r="J652" s="10">
        <v>1.0662650602409638</v>
      </c>
      <c r="K652" s="66">
        <v>290.48408909882312</v>
      </c>
      <c r="L652" s="69">
        <v>2738.984089098823</v>
      </c>
      <c r="M652" s="64">
        <v>0</v>
      </c>
      <c r="N652" s="67">
        <v>0</v>
      </c>
      <c r="O652" s="64">
        <f t="shared" si="20"/>
        <v>2738.984089098823</v>
      </c>
      <c r="P652" s="64">
        <f t="shared" si="21"/>
        <v>32.999808302395458</v>
      </c>
    </row>
    <row r="653" spans="1:16" ht="15">
      <c r="A653" s="3" t="str">
        <f>"071001"</f>
        <v>071001</v>
      </c>
      <c r="B653" s="3" t="s">
        <v>2840</v>
      </c>
      <c r="C653" s="61" t="s">
        <v>3274</v>
      </c>
      <c r="D653" s="3" t="s">
        <v>3249</v>
      </c>
      <c r="E653" s="3">
        <v>1</v>
      </c>
      <c r="F653" s="3" t="s">
        <v>3220</v>
      </c>
      <c r="G653" s="9">
        <v>341</v>
      </c>
      <c r="H653" s="66">
        <v>10059.5</v>
      </c>
      <c r="I653" s="9">
        <v>355.01060000000001</v>
      </c>
      <c r="J653" s="10">
        <v>1.0410868035190617</v>
      </c>
      <c r="K653" s="66">
        <v>739.97388704144987</v>
      </c>
      <c r="L653" s="69">
        <v>10799.473887041449</v>
      </c>
      <c r="M653" s="64">
        <v>0</v>
      </c>
      <c r="N653" s="67">
        <v>0</v>
      </c>
      <c r="O653" s="64">
        <f t="shared" si="20"/>
        <v>10799.473887041449</v>
      </c>
      <c r="P653" s="64">
        <f t="shared" si="21"/>
        <v>31.670011398948532</v>
      </c>
    </row>
    <row r="654" spans="1:16" ht="15">
      <c r="A654" s="3" t="str">
        <f>"090290"</f>
        <v>090290</v>
      </c>
      <c r="B654" s="3" t="s">
        <v>2805</v>
      </c>
      <c r="C654" s="61" t="s">
        <v>3274</v>
      </c>
      <c r="D654" s="3" t="s">
        <v>3249</v>
      </c>
      <c r="E654" s="3">
        <v>1</v>
      </c>
      <c r="F654" s="3" t="s">
        <v>3220</v>
      </c>
      <c r="G654" s="9">
        <v>272</v>
      </c>
      <c r="H654" s="66">
        <v>8024</v>
      </c>
      <c r="I654" s="9">
        <v>283.06099999999998</v>
      </c>
      <c r="J654" s="10">
        <v>1.0406654411764704</v>
      </c>
      <c r="K654" s="66">
        <v>584.18991082219577</v>
      </c>
      <c r="L654" s="69">
        <v>8608.1899108221951</v>
      </c>
      <c r="M654" s="64">
        <v>0</v>
      </c>
      <c r="N654" s="67">
        <v>0</v>
      </c>
      <c r="O654" s="64">
        <f t="shared" si="20"/>
        <v>8608.1899108221951</v>
      </c>
      <c r="P654" s="64">
        <f t="shared" si="21"/>
        <v>31.647757025081599</v>
      </c>
    </row>
    <row r="655" spans="1:16" ht="15">
      <c r="A655" s="3" t="str">
        <f>"067538"</f>
        <v>067538</v>
      </c>
      <c r="B655" s="3" t="s">
        <v>2882</v>
      </c>
      <c r="C655" s="61" t="s">
        <v>3274</v>
      </c>
      <c r="D655" s="3" t="s">
        <v>3249</v>
      </c>
      <c r="E655" s="3">
        <v>1</v>
      </c>
      <c r="F655" s="3" t="s">
        <v>3220</v>
      </c>
      <c r="G655" s="9">
        <v>288</v>
      </c>
      <c r="H655" s="66">
        <v>8496</v>
      </c>
      <c r="I655" s="9">
        <v>308.6472</v>
      </c>
      <c r="J655" s="10">
        <v>1.0716916666666667</v>
      </c>
      <c r="K655" s="66">
        <v>1090.4878335347673</v>
      </c>
      <c r="L655" s="69">
        <v>9586.4878335347676</v>
      </c>
      <c r="M655" s="64">
        <v>0</v>
      </c>
      <c r="N655" s="67">
        <v>0</v>
      </c>
      <c r="O655" s="64">
        <f t="shared" si="20"/>
        <v>9586.4878335347676</v>
      </c>
      <c r="P655" s="64">
        <f t="shared" si="21"/>
        <v>33.286416088662385</v>
      </c>
    </row>
    <row r="656" spans="1:16" ht="15">
      <c r="A656" s="3" t="s">
        <v>848</v>
      </c>
      <c r="B656" s="3" t="s">
        <v>849</v>
      </c>
      <c r="C656" s="61" t="s">
        <v>3274</v>
      </c>
      <c r="D656" s="3" t="s">
        <v>3248</v>
      </c>
      <c r="E656" s="3">
        <v>1</v>
      </c>
      <c r="F656" s="3" t="s">
        <v>1907</v>
      </c>
      <c r="G656" s="9">
        <v>10063.236854000001</v>
      </c>
      <c r="H656" s="66">
        <v>296865.48719300004</v>
      </c>
      <c r="I656" s="9">
        <v>12219.181046424401</v>
      </c>
      <c r="J656" s="10">
        <v>1.2142396351892921</v>
      </c>
      <c r="K656" s="66">
        <v>113866.81543350904</v>
      </c>
      <c r="L656" s="69">
        <v>410732.3026265091</v>
      </c>
      <c r="M656" s="64">
        <v>4301189.8344588121</v>
      </c>
      <c r="N656" s="67">
        <v>86214.346632987654</v>
      </c>
      <c r="O656" s="64">
        <f t="shared" si="20"/>
        <v>496946.64925949677</v>
      </c>
      <c r="P656" s="64">
        <f t="shared" si="21"/>
        <v>49.382386250997079</v>
      </c>
    </row>
    <row r="657" spans="1:16" ht="15">
      <c r="A657" s="3" t="s">
        <v>339</v>
      </c>
      <c r="B657" s="3" t="s">
        <v>1834</v>
      </c>
      <c r="C657" s="61" t="s">
        <v>3274</v>
      </c>
      <c r="D657" s="3" t="s">
        <v>1684</v>
      </c>
      <c r="E657" s="3">
        <v>1</v>
      </c>
      <c r="F657" s="3" t="s">
        <v>3266</v>
      </c>
      <c r="G657" s="9">
        <v>124.17256399999999</v>
      </c>
      <c r="H657" s="66">
        <v>3663.0906379999997</v>
      </c>
      <c r="I657" s="9">
        <v>196.65739290372201</v>
      </c>
      <c r="J657" s="10">
        <v>1.5837427090876695</v>
      </c>
      <c r="K657" s="66">
        <v>3828.3071813784977</v>
      </c>
      <c r="L657" s="69">
        <v>7491.3978193784969</v>
      </c>
      <c r="M657" s="64">
        <v>34955.24</v>
      </c>
      <c r="N657" s="67">
        <v>700.65337592300443</v>
      </c>
      <c r="O657" s="64">
        <f t="shared" si="20"/>
        <v>8192.0511953015011</v>
      </c>
      <c r="P657" s="64">
        <f t="shared" si="21"/>
        <v>65.973117824171709</v>
      </c>
    </row>
    <row r="658" spans="1:16" ht="15">
      <c r="A658" s="3" t="s">
        <v>100</v>
      </c>
      <c r="B658" s="3" t="s">
        <v>101</v>
      </c>
      <c r="C658" s="61" t="s">
        <v>3274</v>
      </c>
      <c r="D658" s="3" t="s">
        <v>1684</v>
      </c>
      <c r="E658" s="3">
        <v>1</v>
      </c>
      <c r="F658" s="3" t="s">
        <v>3266</v>
      </c>
      <c r="G658" s="9">
        <v>591.73141399999997</v>
      </c>
      <c r="H658" s="66">
        <v>17456.076712999999</v>
      </c>
      <c r="I658" s="9">
        <v>828.02634084293004</v>
      </c>
      <c r="J658" s="10">
        <v>1.3993280080325938</v>
      </c>
      <c r="K658" s="66">
        <v>12479.98483320756</v>
      </c>
      <c r="L658" s="69">
        <v>29936.061546207558</v>
      </c>
      <c r="M658" s="64">
        <v>0</v>
      </c>
      <c r="N658" s="67">
        <v>0</v>
      </c>
      <c r="O658" s="64">
        <f t="shared" si="20"/>
        <v>29936.061546207558</v>
      </c>
      <c r="P658" s="64">
        <f t="shared" si="21"/>
        <v>50.590624120908274</v>
      </c>
    </row>
    <row r="659" spans="1:16" ht="15">
      <c r="A659" s="3" t="s">
        <v>216</v>
      </c>
      <c r="B659" s="3" t="s">
        <v>217</v>
      </c>
      <c r="C659" s="61" t="s">
        <v>3274</v>
      </c>
      <c r="D659" s="3" t="s">
        <v>1684</v>
      </c>
      <c r="E659" s="3">
        <v>1</v>
      </c>
      <c r="F659" s="3" t="s">
        <v>3266</v>
      </c>
      <c r="G659" s="9">
        <v>281.43429099999997</v>
      </c>
      <c r="H659" s="66">
        <v>8302.3115844999993</v>
      </c>
      <c r="I659" s="9">
        <v>399.00147894701098</v>
      </c>
      <c r="J659" s="10">
        <v>1.4177429393172669</v>
      </c>
      <c r="K659" s="66">
        <v>6209.344999763206</v>
      </c>
      <c r="L659" s="69">
        <v>14511.656584263204</v>
      </c>
      <c r="M659" s="64">
        <v>0</v>
      </c>
      <c r="N659" s="67">
        <v>0</v>
      </c>
      <c r="O659" s="64">
        <f t="shared" si="20"/>
        <v>14511.656584263204</v>
      </c>
      <c r="P659" s="64">
        <f t="shared" si="21"/>
        <v>51.563214037280218</v>
      </c>
    </row>
    <row r="660" spans="1:16" ht="15">
      <c r="A660" s="3" t="s">
        <v>1686</v>
      </c>
      <c r="B660" s="3" t="s">
        <v>1687</v>
      </c>
      <c r="C660" s="61" t="s">
        <v>3274</v>
      </c>
      <c r="D660" s="3" t="s">
        <v>1684</v>
      </c>
      <c r="E660" s="3">
        <v>1</v>
      </c>
      <c r="F660" s="3" t="s">
        <v>3266</v>
      </c>
      <c r="G660" s="9">
        <v>208.25714400000001</v>
      </c>
      <c r="H660" s="66">
        <v>6143.5857480000004</v>
      </c>
      <c r="I660" s="9">
        <v>297.63890961754203</v>
      </c>
      <c r="J660" s="10">
        <v>1.4291894333168327</v>
      </c>
      <c r="K660" s="66">
        <v>4720.7237759011277</v>
      </c>
      <c r="L660" s="69">
        <v>10864.309523901127</v>
      </c>
      <c r="M660" s="64">
        <v>0</v>
      </c>
      <c r="N660" s="67">
        <v>0</v>
      </c>
      <c r="O660" s="64">
        <f t="shared" si="20"/>
        <v>10864.309523901127</v>
      </c>
      <c r="P660" s="64">
        <f t="shared" si="21"/>
        <v>52.167763925069131</v>
      </c>
    </row>
    <row r="661" spans="1:16" ht="15">
      <c r="A661" s="3" t="s">
        <v>1148</v>
      </c>
      <c r="B661" s="3" t="s">
        <v>1149</v>
      </c>
      <c r="C661" s="61" t="s">
        <v>3348</v>
      </c>
      <c r="D661" s="3" t="s">
        <v>3248</v>
      </c>
      <c r="E661" s="3">
        <v>1</v>
      </c>
      <c r="F661" s="3" t="s">
        <v>1904</v>
      </c>
      <c r="G661" s="9">
        <v>1209.0448100000001</v>
      </c>
      <c r="H661" s="66">
        <v>35666.821895000001</v>
      </c>
      <c r="I661" s="9">
        <v>1331.33796334883</v>
      </c>
      <c r="J661" s="10">
        <v>1.1011485697943899</v>
      </c>
      <c r="K661" s="66">
        <v>6458.9482279195563</v>
      </c>
      <c r="L661" s="69">
        <v>42125.770122919559</v>
      </c>
      <c r="M661" s="64">
        <v>550764.61339013954</v>
      </c>
      <c r="N661" s="67">
        <v>11039.69206650361</v>
      </c>
      <c r="O661" s="64">
        <f t="shared" si="20"/>
        <v>53165.462189423168</v>
      </c>
      <c r="P661" s="64">
        <f t="shared" si="21"/>
        <v>43.973111459304114</v>
      </c>
    </row>
    <row r="662" spans="1:16" ht="15">
      <c r="A662" s="3" t="s">
        <v>1150</v>
      </c>
      <c r="B662" s="3" t="s">
        <v>1151</v>
      </c>
      <c r="C662" s="61" t="s">
        <v>3348</v>
      </c>
      <c r="D662" s="3" t="s">
        <v>3248</v>
      </c>
      <c r="E662" s="3">
        <v>1</v>
      </c>
      <c r="F662" s="3" t="s">
        <v>3224</v>
      </c>
      <c r="G662" s="9">
        <v>1177.402304</v>
      </c>
      <c r="H662" s="66">
        <v>34733.367967999999</v>
      </c>
      <c r="I662" s="9">
        <v>1367.3762452210301</v>
      </c>
      <c r="J662" s="10">
        <v>1.1613500674965811</v>
      </c>
      <c r="K662" s="66">
        <v>10033.528594200783</v>
      </c>
      <c r="L662" s="69">
        <v>44766.896562200782</v>
      </c>
      <c r="M662" s="64">
        <v>1598420.1369742446</v>
      </c>
      <c r="N662" s="67">
        <v>32039.215439925905</v>
      </c>
      <c r="O662" s="64">
        <f t="shared" si="20"/>
        <v>76806.112002126683</v>
      </c>
      <c r="P662" s="64">
        <f t="shared" si="21"/>
        <v>65.23353295742038</v>
      </c>
    </row>
    <row r="663" spans="1:16" ht="15">
      <c r="A663" s="3" t="s">
        <v>1152</v>
      </c>
      <c r="B663" s="3" t="s">
        <v>1153</v>
      </c>
      <c r="C663" s="61" t="s">
        <v>3348</v>
      </c>
      <c r="D663" s="3" t="s">
        <v>3248</v>
      </c>
      <c r="E663" s="3">
        <v>1</v>
      </c>
      <c r="F663" s="3" t="s">
        <v>3223</v>
      </c>
      <c r="G663" s="9">
        <v>410.359354</v>
      </c>
      <c r="H663" s="66">
        <v>12105.600942999999</v>
      </c>
      <c r="I663" s="9">
        <v>515.52340964011398</v>
      </c>
      <c r="J663" s="10">
        <v>1.2562730802040252</v>
      </c>
      <c r="K663" s="66">
        <v>5554.2699833739025</v>
      </c>
      <c r="L663" s="69">
        <v>17659.8709263739</v>
      </c>
      <c r="M663" s="64">
        <v>308213.86813413986</v>
      </c>
      <c r="N663" s="67">
        <v>6177.9317554241597</v>
      </c>
      <c r="O663" s="64">
        <f t="shared" si="20"/>
        <v>23837.802681798061</v>
      </c>
      <c r="P663" s="64">
        <f t="shared" si="21"/>
        <v>58.090067764845102</v>
      </c>
    </row>
    <row r="664" spans="1:16" ht="15">
      <c r="A664" s="3" t="str">
        <f>"059246"</f>
        <v>059246</v>
      </c>
      <c r="B664" s="3" t="s">
        <v>2716</v>
      </c>
      <c r="C664" s="61" t="s">
        <v>3348</v>
      </c>
      <c r="D664" s="3" t="s">
        <v>3249</v>
      </c>
      <c r="E664" s="3">
        <v>1</v>
      </c>
      <c r="F664" s="3" t="s">
        <v>3220</v>
      </c>
      <c r="G664" s="9">
        <v>89</v>
      </c>
      <c r="H664" s="66">
        <v>2625.5</v>
      </c>
      <c r="I664" s="9">
        <v>94.961799999999997</v>
      </c>
      <c r="J664" s="10">
        <v>1.0669865168539325</v>
      </c>
      <c r="K664" s="66">
        <v>314.87418952533869</v>
      </c>
      <c r="L664" s="69">
        <v>2940.3741895253388</v>
      </c>
      <c r="M664" s="64">
        <v>0</v>
      </c>
      <c r="N664" s="67">
        <v>0</v>
      </c>
      <c r="O664" s="64">
        <f t="shared" si="20"/>
        <v>2940.3741895253388</v>
      </c>
      <c r="P664" s="64">
        <f t="shared" si="21"/>
        <v>33.03791224185774</v>
      </c>
    </row>
    <row r="665" spans="1:16" ht="15">
      <c r="A665" s="3" t="str">
        <f>"016680"</f>
        <v>016680</v>
      </c>
      <c r="B665" s="3" t="s">
        <v>2943</v>
      </c>
      <c r="C665" s="61" t="s">
        <v>3348</v>
      </c>
      <c r="D665" s="3" t="s">
        <v>3249</v>
      </c>
      <c r="E665" s="3">
        <v>1</v>
      </c>
      <c r="F665" s="3" t="s">
        <v>3220</v>
      </c>
      <c r="G665" s="9">
        <v>91</v>
      </c>
      <c r="H665" s="66">
        <v>2684.5</v>
      </c>
      <c r="I665" s="9">
        <v>165.5034</v>
      </c>
      <c r="J665" s="10">
        <v>1.8187186813186813</v>
      </c>
      <c r="K665" s="66">
        <v>3934.918597048229</v>
      </c>
      <c r="L665" s="69">
        <v>6619.4185970482285</v>
      </c>
      <c r="M665" s="64">
        <v>0</v>
      </c>
      <c r="N665" s="67">
        <v>0</v>
      </c>
      <c r="O665" s="64">
        <f t="shared" si="20"/>
        <v>6619.4185970482285</v>
      </c>
      <c r="P665" s="64">
        <f t="shared" si="21"/>
        <v>72.74086370382669</v>
      </c>
    </row>
    <row r="666" spans="1:16" ht="15">
      <c r="A666" s="3" t="s">
        <v>1154</v>
      </c>
      <c r="B666" s="3" t="s">
        <v>1155</v>
      </c>
      <c r="C666" s="61" t="s">
        <v>3348</v>
      </c>
      <c r="D666" s="3" t="s">
        <v>3248</v>
      </c>
      <c r="E666" s="3">
        <v>1</v>
      </c>
      <c r="F666" s="3" t="s">
        <v>3224</v>
      </c>
      <c r="G666" s="9">
        <v>524.40189499999997</v>
      </c>
      <c r="H666" s="66">
        <v>15469.8559025</v>
      </c>
      <c r="I666" s="9">
        <v>594.40774746652903</v>
      </c>
      <c r="J666" s="10">
        <v>1.1334965665342018</v>
      </c>
      <c r="K666" s="66">
        <v>3697.3793246047808</v>
      </c>
      <c r="L666" s="69">
        <v>19167.235227104778</v>
      </c>
      <c r="M666" s="64">
        <v>264161.75070105225</v>
      </c>
      <c r="N666" s="67">
        <v>5294.9378238691352</v>
      </c>
      <c r="O666" s="64">
        <f t="shared" si="20"/>
        <v>24462.173050973914</v>
      </c>
      <c r="P666" s="64">
        <f t="shared" si="21"/>
        <v>46.647758683202156</v>
      </c>
    </row>
    <row r="667" spans="1:16" ht="15">
      <c r="A667" s="3" t="s">
        <v>1156</v>
      </c>
      <c r="B667" s="3" t="s">
        <v>1157</v>
      </c>
      <c r="C667" s="61" t="s">
        <v>3348</v>
      </c>
      <c r="D667" s="3" t="s">
        <v>3248</v>
      </c>
      <c r="E667" s="3">
        <v>1</v>
      </c>
      <c r="F667" s="3" t="s">
        <v>3223</v>
      </c>
      <c r="G667" s="9">
        <v>1196.4967859999999</v>
      </c>
      <c r="H667" s="66">
        <v>35296.655186999997</v>
      </c>
      <c r="I667" s="9">
        <v>1425.38791083192</v>
      </c>
      <c r="J667" s="10">
        <v>1.1913010778717796</v>
      </c>
      <c r="K667" s="66">
        <v>12088.950890837326</v>
      </c>
      <c r="L667" s="69">
        <v>47385.606077837321</v>
      </c>
      <c r="M667" s="64">
        <v>710644.8717776282</v>
      </c>
      <c r="N667" s="67">
        <v>14244.380198601577</v>
      </c>
      <c r="O667" s="64">
        <f t="shared" si="20"/>
        <v>61629.986276438896</v>
      </c>
      <c r="P667" s="64">
        <f t="shared" si="21"/>
        <v>51.508693543986588</v>
      </c>
    </row>
    <row r="668" spans="1:16" ht="15">
      <c r="A668" s="3" t="str">
        <f>"059436"</f>
        <v>059436</v>
      </c>
      <c r="B668" s="3" t="s">
        <v>2691</v>
      </c>
      <c r="C668" s="61" t="s">
        <v>3348</v>
      </c>
      <c r="D668" s="3" t="s">
        <v>3249</v>
      </c>
      <c r="E668" s="3">
        <v>1</v>
      </c>
      <c r="F668" s="3" t="s">
        <v>3220</v>
      </c>
      <c r="G668" s="9">
        <v>57</v>
      </c>
      <c r="H668" s="66">
        <v>1681.5</v>
      </c>
      <c r="I668" s="9">
        <v>61.786999999999999</v>
      </c>
      <c r="J668" s="10">
        <v>1.0839824561403508</v>
      </c>
      <c r="K668" s="66">
        <v>252.8267880938302</v>
      </c>
      <c r="L668" s="69">
        <v>1934.3267880938301</v>
      </c>
      <c r="M668" s="64">
        <v>0</v>
      </c>
      <c r="N668" s="67">
        <v>0</v>
      </c>
      <c r="O668" s="64">
        <f t="shared" si="20"/>
        <v>1934.3267880938301</v>
      </c>
      <c r="P668" s="64">
        <f t="shared" si="21"/>
        <v>33.935557685856672</v>
      </c>
    </row>
    <row r="669" spans="1:16" ht="15">
      <c r="A669" s="3" t="s">
        <v>1158</v>
      </c>
      <c r="B669" s="3" t="s">
        <v>1159</v>
      </c>
      <c r="C669" s="61" t="s">
        <v>3348</v>
      </c>
      <c r="D669" s="3" t="s">
        <v>3248</v>
      </c>
      <c r="E669" s="3">
        <v>1</v>
      </c>
      <c r="F669" s="3" t="s">
        <v>1904</v>
      </c>
      <c r="G669" s="9">
        <v>1171.8994009999999</v>
      </c>
      <c r="H669" s="66">
        <v>34571.032329499998</v>
      </c>
      <c r="I669" s="9">
        <v>1446.24339530823</v>
      </c>
      <c r="J669" s="10">
        <v>1.234102000627467</v>
      </c>
      <c r="K669" s="66">
        <v>14489.557324792533</v>
      </c>
      <c r="L669" s="69">
        <v>49060.589654292533</v>
      </c>
      <c r="M669" s="64">
        <v>824183.264932369</v>
      </c>
      <c r="N669" s="67">
        <v>16520.178003472676</v>
      </c>
      <c r="O669" s="64">
        <f t="shared" si="20"/>
        <v>65580.767657765216</v>
      </c>
      <c r="P669" s="64">
        <f t="shared" si="21"/>
        <v>55.961089835701024</v>
      </c>
    </row>
    <row r="670" spans="1:16" ht="15">
      <c r="A670" s="3" t="s">
        <v>948</v>
      </c>
      <c r="B670" s="3" t="s">
        <v>949</v>
      </c>
      <c r="C670" s="61" t="s">
        <v>3348</v>
      </c>
      <c r="D670" s="3" t="s">
        <v>3248</v>
      </c>
      <c r="E670" s="3">
        <v>1</v>
      </c>
      <c r="F670" s="3" t="s">
        <v>1905</v>
      </c>
      <c r="G670" s="9">
        <v>1779.025854</v>
      </c>
      <c r="H670" s="66">
        <v>52481.262692999997</v>
      </c>
      <c r="I670" s="9">
        <v>2068.3063780595999</v>
      </c>
      <c r="J670" s="10">
        <v>1.1626061383026982</v>
      </c>
      <c r="K670" s="66">
        <v>15278.434459178738</v>
      </c>
      <c r="L670" s="69">
        <v>67759.697152178735</v>
      </c>
      <c r="M670" s="64">
        <v>934252.43541879335</v>
      </c>
      <c r="N670" s="67">
        <v>18726.437662578377</v>
      </c>
      <c r="O670" s="64">
        <f t="shared" si="20"/>
        <v>86486.134814757112</v>
      </c>
      <c r="P670" s="64">
        <f t="shared" si="21"/>
        <v>48.614321495272158</v>
      </c>
    </row>
    <row r="671" spans="1:16" ht="15">
      <c r="A671" s="19">
        <v>70615</v>
      </c>
      <c r="B671" s="20" t="s">
        <v>1922</v>
      </c>
      <c r="C671" s="61" t="s">
        <v>3332</v>
      </c>
      <c r="D671" s="19" t="s">
        <v>1973</v>
      </c>
      <c r="E671" s="19">
        <v>1</v>
      </c>
      <c r="F671" s="19" t="s">
        <v>1974</v>
      </c>
      <c r="G671" s="9">
        <v>21.509999999999998</v>
      </c>
      <c r="H671" s="66">
        <v>634.54499999999996</v>
      </c>
      <c r="I671" s="9">
        <v>100.562691</v>
      </c>
      <c r="J671" s="10">
        <v>4.6751599721059973</v>
      </c>
      <c r="K671" s="66">
        <v>4175.1907156264979</v>
      </c>
      <c r="L671" s="69">
        <v>4809.7357156264979</v>
      </c>
      <c r="M671" s="64">
        <v>0</v>
      </c>
      <c r="N671" s="67">
        <v>0</v>
      </c>
      <c r="O671" s="64">
        <f t="shared" si="20"/>
        <v>4809.7357156264979</v>
      </c>
      <c r="P671" s="64">
        <f t="shared" si="21"/>
        <v>223.60463577993949</v>
      </c>
    </row>
    <row r="672" spans="1:16" ht="15">
      <c r="A672" s="3" t="s">
        <v>1665</v>
      </c>
      <c r="B672" s="3" t="s">
        <v>1666</v>
      </c>
      <c r="C672" s="61" t="s">
        <v>3332</v>
      </c>
      <c r="D672" s="3" t="s">
        <v>3248</v>
      </c>
      <c r="E672" s="3">
        <v>1</v>
      </c>
      <c r="F672" s="3" t="s">
        <v>3223</v>
      </c>
      <c r="G672" s="9">
        <v>2174.2335330000001</v>
      </c>
      <c r="H672" s="66">
        <v>64139.889223500002</v>
      </c>
      <c r="I672" s="9">
        <v>2978.0344805083</v>
      </c>
      <c r="J672" s="10">
        <v>1.3696939336591034</v>
      </c>
      <c r="K672" s="66">
        <v>42452.979282494445</v>
      </c>
      <c r="L672" s="69">
        <v>106592.86850599444</v>
      </c>
      <c r="M672" s="64">
        <v>4536996.3705604468</v>
      </c>
      <c r="N672" s="67">
        <v>90940.923981171218</v>
      </c>
      <c r="O672" s="64">
        <f t="shared" si="20"/>
        <v>197533.79248716566</v>
      </c>
      <c r="P672" s="64">
        <f t="shared" si="21"/>
        <v>90.852150649433312</v>
      </c>
    </row>
    <row r="673" spans="1:16" ht="15">
      <c r="A673" s="3" t="s">
        <v>528</v>
      </c>
      <c r="B673" s="3" t="s">
        <v>529</v>
      </c>
      <c r="C673" s="61" t="s">
        <v>3332</v>
      </c>
      <c r="D673" s="3" t="s">
        <v>456</v>
      </c>
      <c r="E673" s="3">
        <v>1</v>
      </c>
      <c r="F673" s="3" t="s">
        <v>1897</v>
      </c>
      <c r="G673" s="9">
        <v>691.59425299999998</v>
      </c>
      <c r="H673" s="66">
        <v>20402.030463499999</v>
      </c>
      <c r="I673" s="9">
        <v>1052.99953989238</v>
      </c>
      <c r="J673" s="10">
        <v>1.5225683778092065</v>
      </c>
      <c r="K673" s="66">
        <v>19087.724646987608</v>
      </c>
      <c r="L673" s="69">
        <v>39489.755110487604</v>
      </c>
      <c r="M673" s="64">
        <v>0</v>
      </c>
      <c r="N673" s="67">
        <v>0</v>
      </c>
      <c r="O673" s="64">
        <f t="shared" si="20"/>
        <v>39489.755110487604</v>
      </c>
      <c r="P673" s="64">
        <f t="shared" si="21"/>
        <v>57.099599858137637</v>
      </c>
    </row>
    <row r="674" spans="1:16" ht="15">
      <c r="A674" s="3" t="s">
        <v>645</v>
      </c>
      <c r="B674" s="3" t="s">
        <v>1855</v>
      </c>
      <c r="C674" s="61" t="s">
        <v>3332</v>
      </c>
      <c r="D674" s="3" t="s">
        <v>3248</v>
      </c>
      <c r="E674" s="3">
        <v>1</v>
      </c>
      <c r="F674" s="3" t="s">
        <v>1905</v>
      </c>
      <c r="G674" s="9">
        <v>2005.1703600000001</v>
      </c>
      <c r="H674" s="66">
        <v>59152.52562</v>
      </c>
      <c r="I674" s="9">
        <v>2677.4029550661498</v>
      </c>
      <c r="J674" s="10">
        <v>1.3352496169283838</v>
      </c>
      <c r="K674" s="66">
        <v>35504.158734605189</v>
      </c>
      <c r="L674" s="69">
        <v>94656.684354605182</v>
      </c>
      <c r="M674" s="64">
        <v>1686089.4098020685</v>
      </c>
      <c r="N674" s="67">
        <v>33796.484792719071</v>
      </c>
      <c r="O674" s="64">
        <f t="shared" si="20"/>
        <v>128453.16914732425</v>
      </c>
      <c r="P674" s="64">
        <f t="shared" si="21"/>
        <v>64.060975421222693</v>
      </c>
    </row>
    <row r="675" spans="1:16" ht="15">
      <c r="A675" s="3" t="str">
        <f>"008246"</f>
        <v>008246</v>
      </c>
      <c r="B675" s="3" t="s">
        <v>3206</v>
      </c>
      <c r="C675" s="61" t="s">
        <v>3332</v>
      </c>
      <c r="D675" s="3" t="s">
        <v>3249</v>
      </c>
      <c r="E675" s="3">
        <v>1</v>
      </c>
      <c r="F675" s="3" t="s">
        <v>3220</v>
      </c>
      <c r="G675" s="9">
        <v>108</v>
      </c>
      <c r="H675" s="66">
        <v>3186</v>
      </c>
      <c r="I675" s="9">
        <v>108</v>
      </c>
      <c r="J675" s="10">
        <v>1</v>
      </c>
      <c r="K675" s="66">
        <v>0</v>
      </c>
      <c r="L675" s="69">
        <v>3186</v>
      </c>
      <c r="M675" s="64">
        <v>0</v>
      </c>
      <c r="N675" s="67">
        <v>0</v>
      </c>
      <c r="O675" s="64">
        <f t="shared" si="20"/>
        <v>3186</v>
      </c>
      <c r="P675" s="64">
        <f t="shared" si="21"/>
        <v>29.5</v>
      </c>
    </row>
    <row r="676" spans="1:16" ht="15">
      <c r="A676" s="3" t="s">
        <v>1160</v>
      </c>
      <c r="B676" s="3" t="s">
        <v>1161</v>
      </c>
      <c r="C676" s="61" t="s">
        <v>3316</v>
      </c>
      <c r="D676" s="3" t="s">
        <v>3248</v>
      </c>
      <c r="E676" s="3">
        <v>1</v>
      </c>
      <c r="F676" s="3" t="s">
        <v>1904</v>
      </c>
      <c r="G676" s="9">
        <v>1236.8449230000001</v>
      </c>
      <c r="H676" s="66">
        <v>36486.925228500004</v>
      </c>
      <c r="I676" s="9">
        <v>1415.56258422165</v>
      </c>
      <c r="J676" s="10">
        <v>1.144494801165667</v>
      </c>
      <c r="K676" s="66">
        <v>9439.0249137896426</v>
      </c>
      <c r="L676" s="69">
        <v>45925.950142289643</v>
      </c>
      <c r="M676" s="64">
        <v>1738630.4131689053</v>
      </c>
      <c r="N676" s="67">
        <v>34849.632514873345</v>
      </c>
      <c r="O676" s="64">
        <f t="shared" si="20"/>
        <v>80775.582657162988</v>
      </c>
      <c r="P676" s="64">
        <f t="shared" si="21"/>
        <v>65.307769110811137</v>
      </c>
    </row>
    <row r="677" spans="1:16" ht="15">
      <c r="A677" s="3" t="s">
        <v>1162</v>
      </c>
      <c r="B677" s="3" t="s">
        <v>1163</v>
      </c>
      <c r="C677" s="61" t="s">
        <v>3316</v>
      </c>
      <c r="D677" s="3" t="s">
        <v>3248</v>
      </c>
      <c r="E677" s="3">
        <v>1</v>
      </c>
      <c r="F677" s="3" t="s">
        <v>3223</v>
      </c>
      <c r="G677" s="9">
        <v>867.33541600000001</v>
      </c>
      <c r="H677" s="66">
        <v>25586.394772</v>
      </c>
      <c r="I677" s="9">
        <v>1058.6322936654401</v>
      </c>
      <c r="J677" s="10">
        <v>1.2205569773083498</v>
      </c>
      <c r="K677" s="66">
        <v>10103.39986474443</v>
      </c>
      <c r="L677" s="69">
        <v>35689.794636744431</v>
      </c>
      <c r="M677" s="64">
        <v>1106182.1565994322</v>
      </c>
      <c r="N677" s="67">
        <v>22172.648862007005</v>
      </c>
      <c r="O677" s="64">
        <f t="shared" si="20"/>
        <v>57862.44349875144</v>
      </c>
      <c r="P677" s="64">
        <f t="shared" si="21"/>
        <v>66.712879967017784</v>
      </c>
    </row>
    <row r="678" spans="1:16" ht="15">
      <c r="A678" s="3" t="s">
        <v>1164</v>
      </c>
      <c r="B678" s="3" t="s">
        <v>1165</v>
      </c>
      <c r="C678" s="61" t="s">
        <v>3316</v>
      </c>
      <c r="D678" s="3" t="s">
        <v>3248</v>
      </c>
      <c r="E678" s="3">
        <v>1</v>
      </c>
      <c r="F678" s="3" t="s">
        <v>1906</v>
      </c>
      <c r="G678" s="9">
        <v>2744.9482549999998</v>
      </c>
      <c r="H678" s="66">
        <v>80975.973522499989</v>
      </c>
      <c r="I678" s="9">
        <v>3087.0589015024302</v>
      </c>
      <c r="J678" s="10">
        <v>1.124632821722328</v>
      </c>
      <c r="K678" s="66">
        <v>18068.672640048724</v>
      </c>
      <c r="L678" s="69">
        <v>99044.646162548714</v>
      </c>
      <c r="M678" s="64">
        <v>2305784.2483810773</v>
      </c>
      <c r="N678" s="67">
        <v>46217.835087909261</v>
      </c>
      <c r="O678" s="64">
        <f t="shared" si="20"/>
        <v>145262.48125045799</v>
      </c>
      <c r="P678" s="64">
        <f t="shared" si="21"/>
        <v>52.919934277762188</v>
      </c>
    </row>
    <row r="679" spans="1:16" ht="15">
      <c r="A679" s="19">
        <v>65995</v>
      </c>
      <c r="B679" s="20" t="s">
        <v>1949</v>
      </c>
      <c r="C679" s="61" t="s">
        <v>3316</v>
      </c>
      <c r="D679" s="19" t="s">
        <v>1973</v>
      </c>
      <c r="E679" s="19">
        <v>1</v>
      </c>
      <c r="F679" s="19" t="s">
        <v>1974</v>
      </c>
      <c r="G679" s="9">
        <v>75.010000000000005</v>
      </c>
      <c r="H679" s="66">
        <v>2212.7950000000001</v>
      </c>
      <c r="I679" s="9">
        <v>354.18871899999999</v>
      </c>
      <c r="J679" s="10">
        <v>4.7218866684442071</v>
      </c>
      <c r="K679" s="66">
        <v>14744.904706271147</v>
      </c>
      <c r="L679" s="69">
        <v>16957.699706271145</v>
      </c>
      <c r="M679" s="64">
        <v>0</v>
      </c>
      <c r="N679" s="67">
        <v>0</v>
      </c>
      <c r="O679" s="64">
        <f t="shared" si="20"/>
        <v>16957.699706271145</v>
      </c>
      <c r="P679" s="64">
        <f t="shared" si="21"/>
        <v>226.0725197476489</v>
      </c>
    </row>
    <row r="680" spans="1:16" ht="15">
      <c r="A680" s="3" t="str">
        <f>"053041"</f>
        <v>053041</v>
      </c>
      <c r="B680" s="3" t="s">
        <v>3141</v>
      </c>
      <c r="C680" s="61" t="s">
        <v>3316</v>
      </c>
      <c r="D680" s="3" t="s">
        <v>3249</v>
      </c>
      <c r="E680" s="3">
        <v>1</v>
      </c>
      <c r="F680" s="3" t="s">
        <v>3220</v>
      </c>
      <c r="G680" s="9">
        <v>532</v>
      </c>
      <c r="H680" s="66">
        <v>15694</v>
      </c>
      <c r="I680" s="9">
        <v>532</v>
      </c>
      <c r="J680" s="10">
        <v>1</v>
      </c>
      <c r="K680" s="66">
        <v>0</v>
      </c>
      <c r="L680" s="69">
        <v>15694</v>
      </c>
      <c r="M680" s="64">
        <v>0</v>
      </c>
      <c r="N680" s="67">
        <v>0</v>
      </c>
      <c r="O680" s="64">
        <f t="shared" si="20"/>
        <v>15694</v>
      </c>
      <c r="P680" s="64">
        <f t="shared" si="21"/>
        <v>29.5</v>
      </c>
    </row>
    <row r="681" spans="1:16" ht="15">
      <c r="A681" s="3" t="str">
        <f>"132696"</f>
        <v>132696</v>
      </c>
      <c r="B681" s="3" t="s">
        <v>2564</v>
      </c>
      <c r="C681" s="61" t="s">
        <v>3316</v>
      </c>
      <c r="D681" s="3" t="s">
        <v>3249</v>
      </c>
      <c r="E681" s="3">
        <v>1</v>
      </c>
      <c r="F681" s="3" t="s">
        <v>3220</v>
      </c>
      <c r="G681" s="9">
        <v>61</v>
      </c>
      <c r="H681" s="66">
        <v>1799.5</v>
      </c>
      <c r="I681" s="9">
        <v>61</v>
      </c>
      <c r="J681" s="10">
        <v>1</v>
      </c>
      <c r="K681" s="66">
        <v>0</v>
      </c>
      <c r="L681" s="69">
        <v>1799.5</v>
      </c>
      <c r="M681" s="64">
        <v>0</v>
      </c>
      <c r="N681" s="67">
        <v>0</v>
      </c>
      <c r="O681" s="64">
        <f t="shared" si="20"/>
        <v>1799.5</v>
      </c>
      <c r="P681" s="64">
        <f t="shared" si="21"/>
        <v>29.5</v>
      </c>
    </row>
    <row r="682" spans="1:16" ht="15">
      <c r="A682" s="3" t="s">
        <v>1166</v>
      </c>
      <c r="B682" s="3" t="s">
        <v>1167</v>
      </c>
      <c r="C682" s="61" t="s">
        <v>3316</v>
      </c>
      <c r="D682" s="3" t="s">
        <v>3248</v>
      </c>
      <c r="E682" s="3">
        <v>1</v>
      </c>
      <c r="F682" s="3" t="s">
        <v>1907</v>
      </c>
      <c r="G682" s="9">
        <v>2628.83329</v>
      </c>
      <c r="H682" s="66">
        <v>77550.582055000006</v>
      </c>
      <c r="I682" s="9">
        <v>2945.2815319268698</v>
      </c>
      <c r="J682" s="10">
        <v>1.1203759261306638</v>
      </c>
      <c r="K682" s="66">
        <v>16713.305327827413</v>
      </c>
      <c r="L682" s="69">
        <v>94263.887382827423</v>
      </c>
      <c r="M682" s="64">
        <v>2174518.4532278427</v>
      </c>
      <c r="N682" s="67">
        <v>43586.703889344135</v>
      </c>
      <c r="O682" s="64">
        <f t="shared" si="20"/>
        <v>137850.59127217156</v>
      </c>
      <c r="P682" s="64">
        <f t="shared" si="21"/>
        <v>52.43793579324749</v>
      </c>
    </row>
    <row r="683" spans="1:16" ht="15">
      <c r="A683" s="3" t="str">
        <f>"057216"</f>
        <v>057216</v>
      </c>
      <c r="B683" s="3" t="s">
        <v>2832</v>
      </c>
      <c r="C683" s="61" t="s">
        <v>3316</v>
      </c>
      <c r="D683" s="3" t="s">
        <v>3249</v>
      </c>
      <c r="E683" s="3">
        <v>1</v>
      </c>
      <c r="F683" s="3" t="s">
        <v>3220</v>
      </c>
      <c r="G683" s="9">
        <v>439</v>
      </c>
      <c r="H683" s="66">
        <v>12950.5</v>
      </c>
      <c r="I683" s="9">
        <v>453.53579999999999</v>
      </c>
      <c r="J683" s="10">
        <v>1.0331111617312072</v>
      </c>
      <c r="K683" s="66">
        <v>767.71247678594023</v>
      </c>
      <c r="L683" s="69">
        <v>13718.21247678594</v>
      </c>
      <c r="M683" s="64">
        <v>0</v>
      </c>
      <c r="N683" s="67">
        <v>0</v>
      </c>
      <c r="O683" s="64">
        <f t="shared" si="20"/>
        <v>13718.21247678594</v>
      </c>
      <c r="P683" s="64">
        <f t="shared" si="21"/>
        <v>31.248775573544282</v>
      </c>
    </row>
    <row r="684" spans="1:16" ht="15">
      <c r="A684" s="3" t="str">
        <f>"053371"</f>
        <v>053371</v>
      </c>
      <c r="B684" s="3" t="s">
        <v>2807</v>
      </c>
      <c r="C684" s="61" t="s">
        <v>3316</v>
      </c>
      <c r="D684" s="3" t="s">
        <v>3249</v>
      </c>
      <c r="E684" s="3">
        <v>1</v>
      </c>
      <c r="F684" s="3" t="s">
        <v>3220</v>
      </c>
      <c r="G684" s="9">
        <v>727</v>
      </c>
      <c r="H684" s="66">
        <v>21446.5</v>
      </c>
      <c r="I684" s="9">
        <v>738.06100000000004</v>
      </c>
      <c r="J684" s="10">
        <v>1.0152145804676753</v>
      </c>
      <c r="K684" s="66">
        <v>584.18991082219873</v>
      </c>
      <c r="L684" s="69">
        <v>22030.689910822199</v>
      </c>
      <c r="M684" s="64">
        <v>0</v>
      </c>
      <c r="N684" s="67">
        <v>0</v>
      </c>
      <c r="O684" s="64">
        <f t="shared" si="20"/>
        <v>22030.689910822199</v>
      </c>
      <c r="P684" s="64">
        <f t="shared" si="21"/>
        <v>30.303562463304264</v>
      </c>
    </row>
    <row r="685" spans="1:16" ht="15">
      <c r="A685" s="3" t="str">
        <f>"060947"</f>
        <v>060947</v>
      </c>
      <c r="B685" s="3" t="s">
        <v>2784</v>
      </c>
      <c r="C685" s="61" t="s">
        <v>3316</v>
      </c>
      <c r="D685" s="3" t="s">
        <v>3249</v>
      </c>
      <c r="E685" s="3">
        <v>1</v>
      </c>
      <c r="F685" s="3" t="s">
        <v>3220</v>
      </c>
      <c r="G685" s="9">
        <v>156</v>
      </c>
      <c r="H685" s="66">
        <v>4602</v>
      </c>
      <c r="I685" s="9">
        <v>167.08619999999999</v>
      </c>
      <c r="J685" s="10">
        <v>1.0710653846153846</v>
      </c>
      <c r="K685" s="66">
        <v>585.52085610315817</v>
      </c>
      <c r="L685" s="69">
        <v>5187.5208561031577</v>
      </c>
      <c r="M685" s="64">
        <v>0</v>
      </c>
      <c r="N685" s="67">
        <v>0</v>
      </c>
      <c r="O685" s="64">
        <f t="shared" si="20"/>
        <v>5187.5208561031577</v>
      </c>
      <c r="P685" s="64">
        <f t="shared" si="21"/>
        <v>33.25333882117409</v>
      </c>
    </row>
    <row r="686" spans="1:16" ht="15">
      <c r="A686" s="3" t="str">
        <f>"057448"</f>
        <v>057448</v>
      </c>
      <c r="B686" s="3" t="s">
        <v>2754</v>
      </c>
      <c r="C686" s="61" t="s">
        <v>3316</v>
      </c>
      <c r="D686" s="3" t="s">
        <v>3249</v>
      </c>
      <c r="E686" s="3">
        <v>1</v>
      </c>
      <c r="F686" s="3" t="s">
        <v>3220</v>
      </c>
      <c r="G686" s="9">
        <v>184</v>
      </c>
      <c r="H686" s="66">
        <v>5428</v>
      </c>
      <c r="I686" s="9">
        <v>195.01140000000001</v>
      </c>
      <c r="J686" s="10">
        <v>1.0598445652173913</v>
      </c>
      <c r="K686" s="66">
        <v>581.57027249141515</v>
      </c>
      <c r="L686" s="69">
        <v>6009.5702724914154</v>
      </c>
      <c r="M686" s="64">
        <v>0</v>
      </c>
      <c r="N686" s="67">
        <v>0</v>
      </c>
      <c r="O686" s="64">
        <f t="shared" si="20"/>
        <v>6009.5702724914154</v>
      </c>
      <c r="P686" s="64">
        <f t="shared" si="21"/>
        <v>32.660708002670738</v>
      </c>
    </row>
    <row r="687" spans="1:16" ht="15">
      <c r="A687" s="3" t="str">
        <f>"057224"</f>
        <v>057224</v>
      </c>
      <c r="B687" s="3" t="s">
        <v>2689</v>
      </c>
      <c r="C687" s="61" t="s">
        <v>3316</v>
      </c>
      <c r="D687" s="3" t="s">
        <v>3249</v>
      </c>
      <c r="E687" s="3">
        <v>1</v>
      </c>
      <c r="F687" s="3" t="s">
        <v>3220</v>
      </c>
      <c r="G687" s="9">
        <v>159</v>
      </c>
      <c r="H687" s="66">
        <v>4690.5</v>
      </c>
      <c r="I687" s="9">
        <v>166.47399999999999</v>
      </c>
      <c r="J687" s="10">
        <v>1.047006289308176</v>
      </c>
      <c r="K687" s="66">
        <v>394.74146944083657</v>
      </c>
      <c r="L687" s="69">
        <v>5085.2414694408362</v>
      </c>
      <c r="M687" s="64">
        <v>0</v>
      </c>
      <c r="N687" s="67">
        <v>0</v>
      </c>
      <c r="O687" s="64">
        <f t="shared" si="20"/>
        <v>5085.2414694408362</v>
      </c>
      <c r="P687" s="64">
        <f t="shared" si="21"/>
        <v>31.982650751200229</v>
      </c>
    </row>
    <row r="688" spans="1:16" ht="15">
      <c r="A688" s="3" t="s">
        <v>1169</v>
      </c>
      <c r="B688" s="3" t="s">
        <v>1170</v>
      </c>
      <c r="C688" s="61" t="s">
        <v>3316</v>
      </c>
      <c r="D688" s="3" t="s">
        <v>3248</v>
      </c>
      <c r="E688" s="3">
        <v>1</v>
      </c>
      <c r="F688" s="3" t="s">
        <v>1906</v>
      </c>
      <c r="G688" s="9">
        <v>2149.2089660000001</v>
      </c>
      <c r="H688" s="66">
        <v>63401.664497000005</v>
      </c>
      <c r="I688" s="9">
        <v>2231.3906867802698</v>
      </c>
      <c r="J688" s="10">
        <v>1.0382381248544772</v>
      </c>
      <c r="K688" s="66">
        <v>4340.451327532809</v>
      </c>
      <c r="L688" s="69">
        <v>67742.115824532812</v>
      </c>
      <c r="M688" s="64">
        <v>1360261.4175852938</v>
      </c>
      <c r="N688" s="67">
        <v>27265.490220320266</v>
      </c>
      <c r="O688" s="64">
        <f t="shared" si="20"/>
        <v>95007.606044853077</v>
      </c>
      <c r="P688" s="64">
        <f t="shared" si="21"/>
        <v>44.205848546070634</v>
      </c>
    </row>
    <row r="689" spans="1:16" ht="15">
      <c r="A689" s="3" t="s">
        <v>1171</v>
      </c>
      <c r="B689" s="3" t="s">
        <v>1172</v>
      </c>
      <c r="C689" s="61" t="s">
        <v>3286</v>
      </c>
      <c r="D689" s="3" t="s">
        <v>3248</v>
      </c>
      <c r="E689" s="3">
        <v>1</v>
      </c>
      <c r="F689" s="3" t="s">
        <v>1907</v>
      </c>
      <c r="G689" s="9">
        <v>7857.4880450000001</v>
      </c>
      <c r="H689" s="66">
        <v>231795.89732749999</v>
      </c>
      <c r="I689" s="9">
        <v>9537.3712974018308</v>
      </c>
      <c r="J689" s="10">
        <v>1.2137939304242149</v>
      </c>
      <c r="K689" s="66">
        <v>88723.519339329854</v>
      </c>
      <c r="L689" s="69">
        <v>320519.41666682984</v>
      </c>
      <c r="M689" s="64">
        <v>5643866.0367028909</v>
      </c>
      <c r="N689" s="67">
        <v>113127.35349186753</v>
      </c>
      <c r="O689" s="64">
        <f t="shared" si="20"/>
        <v>433646.77015869739</v>
      </c>
      <c r="P689" s="64">
        <f t="shared" si="21"/>
        <v>55.188982493539051</v>
      </c>
    </row>
    <row r="690" spans="1:16" ht="15">
      <c r="A690" s="3" t="s">
        <v>1177</v>
      </c>
      <c r="B690" s="3" t="s">
        <v>1694</v>
      </c>
      <c r="C690" s="61" t="s">
        <v>3286</v>
      </c>
      <c r="D690" s="3" t="s">
        <v>3248</v>
      </c>
      <c r="E690" s="3">
        <v>1</v>
      </c>
      <c r="F690" s="3" t="s">
        <v>1907</v>
      </c>
      <c r="G690" s="9">
        <v>2634.3436379999998</v>
      </c>
      <c r="H690" s="66">
        <v>77713.137321000002</v>
      </c>
      <c r="I690" s="9">
        <v>3040.7777598216699</v>
      </c>
      <c r="J690" s="10">
        <v>1.1542828794083355</v>
      </c>
      <c r="K690" s="66">
        <v>21465.935573826897</v>
      </c>
      <c r="L690" s="69">
        <v>99179.072894826895</v>
      </c>
      <c r="M690" s="64">
        <v>1832824.5413277622</v>
      </c>
      <c r="N690" s="67">
        <v>36737.688036352454</v>
      </c>
      <c r="O690" s="64">
        <f t="shared" si="20"/>
        <v>135916.76093117933</v>
      </c>
      <c r="P690" s="64">
        <f t="shared" si="21"/>
        <v>51.594165229851214</v>
      </c>
    </row>
    <row r="691" spans="1:16" ht="15">
      <c r="A691" s="3" t="str">
        <f>"143040"</f>
        <v>143040</v>
      </c>
      <c r="B691" s="3" t="s">
        <v>2628</v>
      </c>
      <c r="C691" s="61" t="s">
        <v>3286</v>
      </c>
      <c r="D691" s="3" t="s">
        <v>3249</v>
      </c>
      <c r="E691" s="3">
        <v>1</v>
      </c>
      <c r="F691" s="3" t="s">
        <v>3220</v>
      </c>
      <c r="G691" s="9">
        <v>87</v>
      </c>
      <c r="H691" s="66">
        <v>2566.5</v>
      </c>
      <c r="I691" s="9">
        <v>90.9</v>
      </c>
      <c r="J691" s="10">
        <v>1.0448275862068965</v>
      </c>
      <c r="K691" s="66">
        <v>205.97962681552943</v>
      </c>
      <c r="L691" s="69">
        <v>2772.4796268155296</v>
      </c>
      <c r="M691" s="64">
        <v>0</v>
      </c>
      <c r="N691" s="67">
        <v>0</v>
      </c>
      <c r="O691" s="64">
        <f t="shared" si="20"/>
        <v>2772.4796268155296</v>
      </c>
      <c r="P691" s="64">
        <f t="shared" si="21"/>
        <v>31.86758191741988</v>
      </c>
    </row>
    <row r="692" spans="1:16" ht="15">
      <c r="A692" s="3" t="str">
        <f>"132936"</f>
        <v>132936</v>
      </c>
      <c r="B692" s="3" t="s">
        <v>2646</v>
      </c>
      <c r="C692" s="61" t="s">
        <v>3286</v>
      </c>
      <c r="D692" s="3" t="s">
        <v>3249</v>
      </c>
      <c r="E692" s="3">
        <v>1</v>
      </c>
      <c r="F692" s="3" t="s">
        <v>3220</v>
      </c>
      <c r="G692" s="9">
        <v>16</v>
      </c>
      <c r="H692" s="66">
        <v>472</v>
      </c>
      <c r="I692" s="9">
        <v>16.737400000000001</v>
      </c>
      <c r="J692" s="10">
        <v>1.0460875000000001</v>
      </c>
      <c r="K692" s="66">
        <v>38.945994054813177</v>
      </c>
      <c r="L692" s="69">
        <v>510.94599405481318</v>
      </c>
      <c r="M692" s="64">
        <v>0</v>
      </c>
      <c r="N692" s="67">
        <v>0</v>
      </c>
      <c r="O692" s="64">
        <f t="shared" si="20"/>
        <v>510.94599405481318</v>
      </c>
      <c r="P692" s="64">
        <f t="shared" si="21"/>
        <v>31.934124628425824</v>
      </c>
    </row>
    <row r="693" spans="1:16" ht="15">
      <c r="A693" s="3" t="s">
        <v>1173</v>
      </c>
      <c r="B693" s="3" t="s">
        <v>1174</v>
      </c>
      <c r="C693" s="61" t="s">
        <v>3286</v>
      </c>
      <c r="D693" s="3" t="s">
        <v>3248</v>
      </c>
      <c r="E693" s="3">
        <v>1</v>
      </c>
      <c r="F693" s="3" t="s">
        <v>1904</v>
      </c>
      <c r="G693" s="9">
        <v>605.78549099999998</v>
      </c>
      <c r="H693" s="66">
        <v>17870.671984500001</v>
      </c>
      <c r="I693" s="9">
        <v>698.65346400603403</v>
      </c>
      <c r="J693" s="10">
        <v>1.1533017452311911</v>
      </c>
      <c r="K693" s="66">
        <v>4904.8488263839808</v>
      </c>
      <c r="L693" s="69">
        <v>22775.52081088398</v>
      </c>
      <c r="M693" s="64">
        <v>280802.99604914663</v>
      </c>
      <c r="N693" s="67">
        <v>5628.4999659887526</v>
      </c>
      <c r="O693" s="64">
        <f t="shared" si="20"/>
        <v>28404.020776872734</v>
      </c>
      <c r="P693" s="64">
        <f t="shared" si="21"/>
        <v>46.887918576565468</v>
      </c>
    </row>
    <row r="694" spans="1:16" ht="15">
      <c r="A694" s="3" t="str">
        <f>"014173"</f>
        <v>014173</v>
      </c>
      <c r="B694" s="3" t="s">
        <v>3182</v>
      </c>
      <c r="C694" s="61" t="s">
        <v>3286</v>
      </c>
      <c r="D694" s="3" t="s">
        <v>3249</v>
      </c>
      <c r="E694" s="3">
        <v>1</v>
      </c>
      <c r="F694" s="3" t="s">
        <v>3220</v>
      </c>
      <c r="G694" s="9">
        <v>37</v>
      </c>
      <c r="H694" s="66">
        <v>1091.5</v>
      </c>
      <c r="I694" s="9">
        <v>37</v>
      </c>
      <c r="J694" s="10">
        <v>1</v>
      </c>
      <c r="K694" s="66">
        <v>0</v>
      </c>
      <c r="L694" s="69">
        <v>1091.5</v>
      </c>
      <c r="M694" s="64">
        <v>0</v>
      </c>
      <c r="N694" s="67">
        <v>0</v>
      </c>
      <c r="O694" s="64">
        <f t="shared" si="20"/>
        <v>1091.5</v>
      </c>
      <c r="P694" s="64">
        <f t="shared" si="21"/>
        <v>29.5</v>
      </c>
    </row>
    <row r="695" spans="1:16" ht="15">
      <c r="A695" s="3" t="str">
        <f>"134536"</f>
        <v>134536</v>
      </c>
      <c r="B695" s="3" t="s">
        <v>2982</v>
      </c>
      <c r="C695" s="61" t="s">
        <v>3286</v>
      </c>
      <c r="D695" s="3" t="s">
        <v>3249</v>
      </c>
      <c r="E695" s="3">
        <v>1</v>
      </c>
      <c r="F695" s="3" t="s">
        <v>3220</v>
      </c>
      <c r="G695" s="9">
        <v>102</v>
      </c>
      <c r="H695" s="66">
        <v>3009</v>
      </c>
      <c r="I695" s="9">
        <v>104.61539999999999</v>
      </c>
      <c r="J695" s="10">
        <v>1.0256411764705882</v>
      </c>
      <c r="K695" s="66">
        <v>138.13310665982914</v>
      </c>
      <c r="L695" s="69">
        <v>3147.1331066598291</v>
      </c>
      <c r="M695" s="64">
        <v>0</v>
      </c>
      <c r="N695" s="67">
        <v>0</v>
      </c>
      <c r="O695" s="64">
        <f t="shared" si="20"/>
        <v>3147.1331066598291</v>
      </c>
      <c r="P695" s="64">
        <f t="shared" si="21"/>
        <v>30.854246143723813</v>
      </c>
    </row>
    <row r="696" spans="1:16" ht="15">
      <c r="A696" s="62" t="s">
        <v>632</v>
      </c>
      <c r="B696" s="3" t="s">
        <v>1854</v>
      </c>
      <c r="C696" s="61" t="s">
        <v>3286</v>
      </c>
      <c r="D696" s="3" t="s">
        <v>3248</v>
      </c>
      <c r="E696" s="3">
        <v>1</v>
      </c>
      <c r="F696" s="3" t="s">
        <v>1909</v>
      </c>
      <c r="G696" s="9">
        <v>4158.6000409999997</v>
      </c>
      <c r="H696" s="66">
        <v>122678.7012095</v>
      </c>
      <c r="I696" s="9">
        <v>5609.5247986455697</v>
      </c>
      <c r="J696" s="10">
        <v>1.3488974037754957</v>
      </c>
      <c r="K696" s="66">
        <v>76631.01028647348</v>
      </c>
      <c r="L696" s="69">
        <v>199309.71149597346</v>
      </c>
      <c r="M696" s="64">
        <v>2563303.8741283701</v>
      </c>
      <c r="N696" s="67">
        <v>51379.636155396402</v>
      </c>
      <c r="O696" s="64">
        <f t="shared" si="20"/>
        <v>250689.34765136987</v>
      </c>
      <c r="P696" s="64">
        <f t="shared" si="21"/>
        <v>60.28214908377862</v>
      </c>
    </row>
    <row r="697" spans="1:16" ht="15">
      <c r="A697" s="3" t="s">
        <v>445</v>
      </c>
      <c r="B697" s="61" t="s">
        <v>446</v>
      </c>
      <c r="C697" s="61" t="s">
        <v>3286</v>
      </c>
      <c r="D697" s="3" t="s">
        <v>1684</v>
      </c>
      <c r="E697" s="3">
        <v>1</v>
      </c>
      <c r="F697" s="3" t="s">
        <v>3267</v>
      </c>
      <c r="G697" s="9">
        <v>145.31485599999999</v>
      </c>
      <c r="H697" s="66">
        <v>857.3576503999999</v>
      </c>
      <c r="I697" s="9">
        <v>188.03688671210301</v>
      </c>
      <c r="J697" s="10">
        <v>1.2939963049070704</v>
      </c>
      <c r="K697" s="66">
        <v>0</v>
      </c>
      <c r="L697" s="69">
        <v>857.3576503999999</v>
      </c>
      <c r="M697" s="64">
        <v>0</v>
      </c>
      <c r="N697" s="67">
        <v>0</v>
      </c>
      <c r="O697" s="64">
        <f t="shared" si="20"/>
        <v>857.3576503999999</v>
      </c>
      <c r="P697" s="64">
        <f t="shared" si="21"/>
        <v>5.8999999999999995</v>
      </c>
    </row>
    <row r="698" spans="1:16" ht="15">
      <c r="A698" s="3" t="s">
        <v>477</v>
      </c>
      <c r="B698" s="3" t="s">
        <v>478</v>
      </c>
      <c r="C698" s="61" t="s">
        <v>3286</v>
      </c>
      <c r="D698" s="3" t="s">
        <v>456</v>
      </c>
      <c r="E698" s="3">
        <v>1</v>
      </c>
      <c r="F698" s="3" t="s">
        <v>1897</v>
      </c>
      <c r="G698" s="9">
        <v>890.070875</v>
      </c>
      <c r="H698" s="66">
        <v>26257.090812499999</v>
      </c>
      <c r="I698" s="9">
        <v>1263.9213979940901</v>
      </c>
      <c r="J698" s="10">
        <v>1.4200233189228779</v>
      </c>
      <c r="K698" s="66">
        <v>19745.023387464887</v>
      </c>
      <c r="L698" s="69">
        <v>46002.114199964883</v>
      </c>
      <c r="M698" s="64">
        <v>0</v>
      </c>
      <c r="N698" s="67">
        <v>0</v>
      </c>
      <c r="O698" s="64">
        <f t="shared" si="20"/>
        <v>46002.114199964883</v>
      </c>
      <c r="P698" s="64">
        <f t="shared" si="21"/>
        <v>51.683652945013939</v>
      </c>
    </row>
    <row r="699" spans="1:16" ht="15">
      <c r="A699" s="3" t="s">
        <v>1175</v>
      </c>
      <c r="B699" s="3" t="s">
        <v>1176</v>
      </c>
      <c r="C699" s="61" t="s">
        <v>3286</v>
      </c>
      <c r="D699" s="3" t="s">
        <v>3248</v>
      </c>
      <c r="E699" s="3">
        <v>1</v>
      </c>
      <c r="F699" s="3" t="s">
        <v>3224</v>
      </c>
      <c r="G699" s="9">
        <v>1273.140856</v>
      </c>
      <c r="H699" s="66">
        <v>37557.655251999997</v>
      </c>
      <c r="I699" s="9">
        <v>1491.6069324371699</v>
      </c>
      <c r="J699" s="10">
        <v>1.1715961556080721</v>
      </c>
      <c r="K699" s="66">
        <v>11538.348947790031</v>
      </c>
      <c r="L699" s="69">
        <v>49096.004199790026</v>
      </c>
      <c r="M699" s="64">
        <v>1206657.3672684319</v>
      </c>
      <c r="N699" s="67">
        <v>24186.604296208279</v>
      </c>
      <c r="O699" s="64">
        <f t="shared" si="20"/>
        <v>73282.608495998313</v>
      </c>
      <c r="P699" s="64">
        <f t="shared" si="21"/>
        <v>57.560487632327082</v>
      </c>
    </row>
    <row r="700" spans="1:16" ht="15">
      <c r="A700" s="3" t="str">
        <f>"067546"</f>
        <v>067546</v>
      </c>
      <c r="B700" s="3" t="s">
        <v>2809</v>
      </c>
      <c r="C700" s="61" t="s">
        <v>3286</v>
      </c>
      <c r="D700" s="3" t="s">
        <v>3249</v>
      </c>
      <c r="E700" s="3">
        <v>1</v>
      </c>
      <c r="F700" s="3" t="s">
        <v>3220</v>
      </c>
      <c r="G700" s="9">
        <v>373</v>
      </c>
      <c r="H700" s="66">
        <v>11003.5</v>
      </c>
      <c r="I700" s="9">
        <v>389.76099999999997</v>
      </c>
      <c r="J700" s="10">
        <v>1.0449356568364609</v>
      </c>
      <c r="K700" s="66">
        <v>885.23705770642994</v>
      </c>
      <c r="L700" s="69">
        <v>11888.73705770643</v>
      </c>
      <c r="M700" s="64">
        <v>0</v>
      </c>
      <c r="N700" s="67">
        <v>0</v>
      </c>
      <c r="O700" s="64">
        <f t="shared" si="20"/>
        <v>11888.73705770643</v>
      </c>
      <c r="P700" s="64">
        <f t="shared" si="21"/>
        <v>31.873289698944852</v>
      </c>
    </row>
    <row r="701" spans="1:16" ht="15">
      <c r="A701" s="3" t="str">
        <f>"054882"</f>
        <v>054882</v>
      </c>
      <c r="B701" s="3" t="s">
        <v>2700</v>
      </c>
      <c r="C701" s="61" t="s">
        <v>3286</v>
      </c>
      <c r="D701" s="3" t="s">
        <v>3249</v>
      </c>
      <c r="E701" s="3">
        <v>1</v>
      </c>
      <c r="F701" s="3" t="s">
        <v>3220</v>
      </c>
      <c r="G701" s="9">
        <v>213</v>
      </c>
      <c r="H701" s="66">
        <v>6283.5</v>
      </c>
      <c r="I701" s="9">
        <v>220.7244</v>
      </c>
      <c r="J701" s="10">
        <v>1.0362647887323944</v>
      </c>
      <c r="K701" s="66">
        <v>407.96641778817275</v>
      </c>
      <c r="L701" s="69">
        <v>6691.4664177881732</v>
      </c>
      <c r="M701" s="64">
        <v>0</v>
      </c>
      <c r="N701" s="67">
        <v>0</v>
      </c>
      <c r="O701" s="64">
        <f t="shared" si="20"/>
        <v>6691.4664177881732</v>
      </c>
      <c r="P701" s="64">
        <f t="shared" si="21"/>
        <v>31.415335294780157</v>
      </c>
    </row>
    <row r="702" spans="1:16" ht="15">
      <c r="A702" s="3" t="str">
        <f>"055251"</f>
        <v>055251</v>
      </c>
      <c r="B702" s="3" t="s">
        <v>2856</v>
      </c>
      <c r="C702" s="61" t="s">
        <v>3286</v>
      </c>
      <c r="D702" s="3" t="s">
        <v>3249</v>
      </c>
      <c r="E702" s="3">
        <v>1</v>
      </c>
      <c r="F702" s="3" t="s">
        <v>3220</v>
      </c>
      <c r="G702" s="9">
        <v>322</v>
      </c>
      <c r="H702" s="66">
        <v>9499</v>
      </c>
      <c r="I702" s="9">
        <v>339.62279999999998</v>
      </c>
      <c r="J702" s="10">
        <v>1.0547291925465838</v>
      </c>
      <c r="K702" s="66">
        <v>930.75327370376999</v>
      </c>
      <c r="L702" s="69">
        <v>10429.753273703769</v>
      </c>
      <c r="M702" s="64">
        <v>0</v>
      </c>
      <c r="N702" s="67">
        <v>0</v>
      </c>
      <c r="O702" s="64">
        <f t="shared" si="20"/>
        <v>10429.753273703769</v>
      </c>
      <c r="P702" s="64">
        <f t="shared" si="21"/>
        <v>32.390538117092447</v>
      </c>
    </row>
    <row r="703" spans="1:16" ht="15">
      <c r="A703" s="3" t="s">
        <v>325</v>
      </c>
      <c r="B703" s="3" t="s">
        <v>326</v>
      </c>
      <c r="C703" s="61" t="s">
        <v>3286</v>
      </c>
      <c r="D703" s="3" t="s">
        <v>1684</v>
      </c>
      <c r="E703" s="3">
        <v>1</v>
      </c>
      <c r="F703" s="3" t="s">
        <v>3266</v>
      </c>
      <c r="G703" s="9">
        <v>194.736718</v>
      </c>
      <c r="H703" s="66">
        <v>5744.7331809999996</v>
      </c>
      <c r="I703" s="9">
        <v>576.7232554556</v>
      </c>
      <c r="J703" s="10">
        <v>2.9615537397297618</v>
      </c>
      <c r="K703" s="66">
        <v>20174.729341964263</v>
      </c>
      <c r="L703" s="69">
        <v>25919.462522964262</v>
      </c>
      <c r="M703" s="64">
        <v>0</v>
      </c>
      <c r="N703" s="67">
        <v>0</v>
      </c>
      <c r="O703" s="64">
        <f t="shared" si="20"/>
        <v>25919.462522964262</v>
      </c>
      <c r="P703" s="64">
        <f t="shared" si="21"/>
        <v>133.10002750977998</v>
      </c>
    </row>
    <row r="704" spans="1:16" ht="15">
      <c r="A704" s="3" t="s">
        <v>852</v>
      </c>
      <c r="B704" s="3" t="s">
        <v>853</v>
      </c>
      <c r="C704" s="61" t="s">
        <v>3286</v>
      </c>
      <c r="D704" s="3" t="s">
        <v>3248</v>
      </c>
      <c r="E704" s="3">
        <v>1</v>
      </c>
      <c r="F704" s="3" t="s">
        <v>1905</v>
      </c>
      <c r="G704" s="9">
        <v>4051.3583990000002</v>
      </c>
      <c r="H704" s="66">
        <v>119515.0727705</v>
      </c>
      <c r="I704" s="9">
        <v>5418.2555323697798</v>
      </c>
      <c r="J704" s="10">
        <v>1.3373923012358453</v>
      </c>
      <c r="K704" s="66">
        <v>72193.067032493258</v>
      </c>
      <c r="L704" s="69">
        <v>191708.13980299328</v>
      </c>
      <c r="M704" s="64">
        <v>3895472.3881842084</v>
      </c>
      <c r="N704" s="67">
        <v>78082.023742251913</v>
      </c>
      <c r="O704" s="64">
        <f t="shared" si="20"/>
        <v>269790.16354524519</v>
      </c>
      <c r="P704" s="64">
        <f t="shared" si="21"/>
        <v>66.592519588451538</v>
      </c>
    </row>
    <row r="705" spans="1:16" ht="15">
      <c r="A705" s="3" t="s">
        <v>954</v>
      </c>
      <c r="B705" s="3" t="s">
        <v>955</v>
      </c>
      <c r="C705" s="61" t="s">
        <v>3286</v>
      </c>
      <c r="D705" s="3" t="s">
        <v>3248</v>
      </c>
      <c r="E705" s="3">
        <v>1</v>
      </c>
      <c r="F705" s="3" t="s">
        <v>1907</v>
      </c>
      <c r="G705" s="9">
        <v>667.70063200000004</v>
      </c>
      <c r="H705" s="66">
        <v>19697.168644000001</v>
      </c>
      <c r="I705" s="9">
        <v>800.57847487625997</v>
      </c>
      <c r="J705" s="10">
        <v>1.1990081130794257</v>
      </c>
      <c r="K705" s="66">
        <v>7017.9816635139832</v>
      </c>
      <c r="L705" s="69">
        <v>26715.150307513984</v>
      </c>
      <c r="M705" s="64">
        <v>168873.77101442462</v>
      </c>
      <c r="N705" s="67">
        <v>3384.9568123721947</v>
      </c>
      <c r="O705" s="64">
        <f t="shared" si="20"/>
        <v>30100.107119886179</v>
      </c>
      <c r="P705" s="64">
        <f t="shared" si="21"/>
        <v>45.080243566230706</v>
      </c>
    </row>
    <row r="706" spans="1:16" ht="15">
      <c r="A706" s="3" t="s">
        <v>585</v>
      </c>
      <c r="B706" s="3" t="s">
        <v>586</v>
      </c>
      <c r="C706" s="61" t="s">
        <v>3341</v>
      </c>
      <c r="D706" s="3" t="s">
        <v>3248</v>
      </c>
      <c r="E706" s="3">
        <v>1</v>
      </c>
      <c r="F706" s="3" t="s">
        <v>1905</v>
      </c>
      <c r="G706" s="9">
        <v>1931.1337100000001</v>
      </c>
      <c r="H706" s="66">
        <v>56968.444445000001</v>
      </c>
      <c r="I706" s="9">
        <v>2514.0501978699699</v>
      </c>
      <c r="J706" s="10">
        <v>1.3018519561081918</v>
      </c>
      <c r="K706" s="66">
        <v>30786.902727198794</v>
      </c>
      <c r="L706" s="69">
        <v>87755.347172198788</v>
      </c>
      <c r="M706" s="64">
        <v>928842.60549472773</v>
      </c>
      <c r="N706" s="67">
        <v>18618.00139953267</v>
      </c>
      <c r="O706" s="64">
        <f t="shared" si="20"/>
        <v>106373.34857173146</v>
      </c>
      <c r="P706" s="64">
        <f t="shared" si="21"/>
        <v>55.083367879136375</v>
      </c>
    </row>
    <row r="707" spans="1:16" ht="15">
      <c r="A707" s="3" t="s">
        <v>1667</v>
      </c>
      <c r="B707" s="3" t="s">
        <v>1668</v>
      </c>
      <c r="C707" s="61" t="s">
        <v>3341</v>
      </c>
      <c r="D707" s="3" t="s">
        <v>3248</v>
      </c>
      <c r="E707" s="3">
        <v>1</v>
      </c>
      <c r="F707" s="3" t="s">
        <v>3224</v>
      </c>
      <c r="G707" s="9">
        <v>1016.478114</v>
      </c>
      <c r="H707" s="66">
        <v>29986.104362999999</v>
      </c>
      <c r="I707" s="9">
        <v>1296.3028528894099</v>
      </c>
      <c r="J707" s="10">
        <v>1.2752885035451043</v>
      </c>
      <c r="K707" s="66">
        <v>14779.024433382956</v>
      </c>
      <c r="L707" s="69">
        <v>44765.128796382953</v>
      </c>
      <c r="M707" s="64">
        <v>1670537.4189641201</v>
      </c>
      <c r="N707" s="67">
        <v>33484.755996609179</v>
      </c>
      <c r="O707" s="64">
        <f t="shared" ref="O707:O770" si="22">(N707+L707)</f>
        <v>78249.884792992132</v>
      </c>
      <c r="P707" s="64">
        <f t="shared" ref="P707:P770" si="23">O707/G707</f>
        <v>76.981376888742474</v>
      </c>
    </row>
    <row r="708" spans="1:16" ht="15">
      <c r="A708" s="3" t="s">
        <v>1178</v>
      </c>
      <c r="B708" s="3" t="s">
        <v>1179</v>
      </c>
      <c r="C708" s="61" t="s">
        <v>3341</v>
      </c>
      <c r="D708" s="3" t="s">
        <v>3248</v>
      </c>
      <c r="E708" s="3">
        <v>1</v>
      </c>
      <c r="F708" s="3" t="s">
        <v>3223</v>
      </c>
      <c r="G708" s="9">
        <v>1535.6862249999999</v>
      </c>
      <c r="H708" s="66">
        <v>45302.743637499996</v>
      </c>
      <c r="I708" s="9">
        <v>1954.8775361268499</v>
      </c>
      <c r="J708" s="10">
        <v>1.2729667716638209</v>
      </c>
      <c r="K708" s="66">
        <v>22139.710212877158</v>
      </c>
      <c r="L708" s="69">
        <v>67442.453850377147</v>
      </c>
      <c r="M708" s="64">
        <v>1278024.6910744645</v>
      </c>
      <c r="N708" s="67">
        <v>25617.112464805799</v>
      </c>
      <c r="O708" s="64">
        <f t="shared" si="22"/>
        <v>93059.56631518295</v>
      </c>
      <c r="P708" s="64">
        <f t="shared" si="23"/>
        <v>60.598034155826952</v>
      </c>
    </row>
    <row r="709" spans="1:16" ht="15">
      <c r="A709" s="3" t="str">
        <f>"058255"</f>
        <v>058255</v>
      </c>
      <c r="B709" s="3" t="s">
        <v>2711</v>
      </c>
      <c r="C709" s="61" t="s">
        <v>3341</v>
      </c>
      <c r="D709" s="3" t="s">
        <v>3249</v>
      </c>
      <c r="E709" s="3">
        <v>1</v>
      </c>
      <c r="F709" s="3" t="s">
        <v>3220</v>
      </c>
      <c r="G709" s="9">
        <v>90</v>
      </c>
      <c r="H709" s="66">
        <v>2655</v>
      </c>
      <c r="I709" s="9">
        <v>97.761799999999994</v>
      </c>
      <c r="J709" s="10">
        <v>1.0862422222222221</v>
      </c>
      <c r="K709" s="66">
        <v>409.94170959404426</v>
      </c>
      <c r="L709" s="69">
        <v>3064.9417095940444</v>
      </c>
      <c r="M709" s="64">
        <v>0</v>
      </c>
      <c r="N709" s="67">
        <v>0</v>
      </c>
      <c r="O709" s="64">
        <f t="shared" si="22"/>
        <v>3064.9417095940444</v>
      </c>
      <c r="P709" s="64">
        <f t="shared" si="23"/>
        <v>34.054907884378274</v>
      </c>
    </row>
    <row r="710" spans="1:16" ht="15">
      <c r="A710" s="3" t="s">
        <v>1821</v>
      </c>
      <c r="B710" s="3" t="s">
        <v>1822</v>
      </c>
      <c r="C710" s="61" t="s">
        <v>3276</v>
      </c>
      <c r="D710" s="3" t="s">
        <v>1684</v>
      </c>
      <c r="E710" s="3">
        <v>1</v>
      </c>
      <c r="F710" s="3" t="s">
        <v>3266</v>
      </c>
      <c r="G710" s="9">
        <v>29.824674999999999</v>
      </c>
      <c r="H710" s="66">
        <v>879.82791250000002</v>
      </c>
      <c r="I710" s="9">
        <v>38.970088578381102</v>
      </c>
      <c r="J710" s="10">
        <v>1.3066391696935877</v>
      </c>
      <c r="K710" s="66">
        <v>483.01766049964419</v>
      </c>
      <c r="L710" s="69">
        <v>1362.8455729996442</v>
      </c>
      <c r="M710" s="64">
        <v>0</v>
      </c>
      <c r="N710" s="67">
        <v>0</v>
      </c>
      <c r="O710" s="64">
        <f t="shared" si="22"/>
        <v>1362.8455729996442</v>
      </c>
      <c r="P710" s="64">
        <f t="shared" si="23"/>
        <v>45.695236343720232</v>
      </c>
    </row>
    <row r="711" spans="1:16" ht="15">
      <c r="A711" s="3" t="s">
        <v>1831</v>
      </c>
      <c r="B711" s="3" t="s">
        <v>1832</v>
      </c>
      <c r="C711" s="61" t="s">
        <v>3276</v>
      </c>
      <c r="D711" s="3" t="s">
        <v>1684</v>
      </c>
      <c r="E711" s="3">
        <v>1</v>
      </c>
      <c r="F711" s="3" t="s">
        <v>3266</v>
      </c>
      <c r="G711" s="9">
        <v>60.334620000000001</v>
      </c>
      <c r="H711" s="66">
        <v>1779.87129</v>
      </c>
      <c r="I711" s="9">
        <v>77.850584793395399</v>
      </c>
      <c r="J711" s="10">
        <v>1.2903136672344235</v>
      </c>
      <c r="K711" s="66">
        <v>925.11074139936682</v>
      </c>
      <c r="L711" s="69">
        <v>2704.9820313993669</v>
      </c>
      <c r="M711" s="64">
        <v>0</v>
      </c>
      <c r="N711" s="67">
        <v>0</v>
      </c>
      <c r="O711" s="64">
        <f t="shared" si="22"/>
        <v>2704.9820313993669</v>
      </c>
      <c r="P711" s="64">
        <f t="shared" si="23"/>
        <v>44.833000214460071</v>
      </c>
    </row>
    <row r="712" spans="1:16" ht="15">
      <c r="A712" s="3" t="str">
        <f>"017998"</f>
        <v>017998</v>
      </c>
      <c r="B712" s="3" t="s">
        <v>2658</v>
      </c>
      <c r="C712" s="61" t="s">
        <v>3276</v>
      </c>
      <c r="D712" s="3" t="s">
        <v>3249</v>
      </c>
      <c r="E712" s="3">
        <v>1</v>
      </c>
      <c r="F712" s="3" t="s">
        <v>3220</v>
      </c>
      <c r="G712" s="9">
        <v>62</v>
      </c>
      <c r="H712" s="66">
        <v>1829</v>
      </c>
      <c r="I712" s="9">
        <v>66.874800000000008</v>
      </c>
      <c r="J712" s="10">
        <v>1.078625806451613</v>
      </c>
      <c r="K712" s="66">
        <v>257.46397046162639</v>
      </c>
      <c r="L712" s="69">
        <v>2086.4639704616266</v>
      </c>
      <c r="M712" s="64">
        <v>0</v>
      </c>
      <c r="N712" s="67">
        <v>0</v>
      </c>
      <c r="O712" s="64">
        <f t="shared" si="22"/>
        <v>2086.4639704616266</v>
      </c>
      <c r="P712" s="64">
        <f t="shared" si="23"/>
        <v>33.652644684864946</v>
      </c>
    </row>
    <row r="713" spans="1:16" ht="15">
      <c r="A713" s="3" t="str">
        <f>"053009"</f>
        <v>053009</v>
      </c>
      <c r="B713" s="3" t="s">
        <v>2762</v>
      </c>
      <c r="C713" s="61" t="s">
        <v>3276</v>
      </c>
      <c r="D713" s="3" t="s">
        <v>3249</v>
      </c>
      <c r="E713" s="3">
        <v>1</v>
      </c>
      <c r="F713" s="3" t="s">
        <v>3220</v>
      </c>
      <c r="G713" s="9">
        <v>162</v>
      </c>
      <c r="H713" s="66">
        <v>4779</v>
      </c>
      <c r="I713" s="9">
        <v>170.1114</v>
      </c>
      <c r="J713" s="10">
        <v>1.0500703703703704</v>
      </c>
      <c r="K713" s="66">
        <v>428.40593460294451</v>
      </c>
      <c r="L713" s="69">
        <v>5207.4059346029444</v>
      </c>
      <c r="M713" s="64">
        <v>0</v>
      </c>
      <c r="N713" s="67">
        <v>0</v>
      </c>
      <c r="O713" s="64">
        <f t="shared" si="22"/>
        <v>5207.4059346029444</v>
      </c>
      <c r="P713" s="64">
        <f t="shared" si="23"/>
        <v>32.144481077795952</v>
      </c>
    </row>
    <row r="714" spans="1:16" ht="15">
      <c r="A714" s="3" t="str">
        <f>"054205"</f>
        <v>054205</v>
      </c>
      <c r="B714" s="3" t="s">
        <v>2747</v>
      </c>
      <c r="C714" s="61" t="s">
        <v>3276</v>
      </c>
      <c r="D714" s="3" t="s">
        <v>3249</v>
      </c>
      <c r="E714" s="3">
        <v>1</v>
      </c>
      <c r="F714" s="3" t="s">
        <v>3220</v>
      </c>
      <c r="G714" s="9">
        <v>497</v>
      </c>
      <c r="H714" s="66">
        <v>14661.5</v>
      </c>
      <c r="I714" s="9">
        <v>505.07400000000001</v>
      </c>
      <c r="J714" s="10">
        <v>1.0162454728370223</v>
      </c>
      <c r="K714" s="66">
        <v>426.43064279707295</v>
      </c>
      <c r="L714" s="69">
        <v>15087.930642797073</v>
      </c>
      <c r="M714" s="64">
        <v>0</v>
      </c>
      <c r="N714" s="67">
        <v>0</v>
      </c>
      <c r="O714" s="64">
        <f t="shared" si="22"/>
        <v>15087.930642797073</v>
      </c>
      <c r="P714" s="64">
        <f t="shared" si="23"/>
        <v>30.35800934164401</v>
      </c>
    </row>
    <row r="715" spans="1:16" ht="15">
      <c r="A715" s="3" t="s">
        <v>5</v>
      </c>
      <c r="B715" s="3" t="s">
        <v>1764</v>
      </c>
      <c r="C715" s="61" t="s">
        <v>3276</v>
      </c>
      <c r="D715" s="3" t="s">
        <v>1684</v>
      </c>
      <c r="E715" s="3">
        <v>1</v>
      </c>
      <c r="F715" s="3" t="s">
        <v>3266</v>
      </c>
      <c r="G715" s="9">
        <v>583.44252800000004</v>
      </c>
      <c r="H715" s="66">
        <v>17211.554576000002</v>
      </c>
      <c r="I715" s="9">
        <v>782.09079358874897</v>
      </c>
      <c r="J715" s="10">
        <v>1.3404761498441007</v>
      </c>
      <c r="K715" s="66">
        <v>10491.665541928876</v>
      </c>
      <c r="L715" s="69">
        <v>27703.220117928879</v>
      </c>
      <c r="M715" s="64">
        <v>0</v>
      </c>
      <c r="N715" s="67">
        <v>0</v>
      </c>
      <c r="O715" s="64">
        <f t="shared" si="22"/>
        <v>27703.220117928879</v>
      </c>
      <c r="P715" s="64">
        <f t="shared" si="23"/>
        <v>47.482346226788728</v>
      </c>
    </row>
    <row r="716" spans="1:16" ht="15">
      <c r="A716" s="3" t="str">
        <f>"121491"</f>
        <v>121491</v>
      </c>
      <c r="B716" s="3" t="s">
        <v>2626</v>
      </c>
      <c r="C716" s="61" t="s">
        <v>3276</v>
      </c>
      <c r="D716" s="3" t="s">
        <v>3249</v>
      </c>
      <c r="E716" s="3">
        <v>1</v>
      </c>
      <c r="F716" s="3" t="s">
        <v>3220</v>
      </c>
      <c r="G716" s="9">
        <v>40</v>
      </c>
      <c r="H716" s="66">
        <v>1180</v>
      </c>
      <c r="I716" s="9">
        <v>44.8</v>
      </c>
      <c r="J716" s="10">
        <v>1.1199999999999999</v>
      </c>
      <c r="K716" s="66">
        <v>253.51338684988184</v>
      </c>
      <c r="L716" s="69">
        <v>1433.513386849882</v>
      </c>
      <c r="M716" s="64">
        <v>0</v>
      </c>
      <c r="N716" s="67">
        <v>0</v>
      </c>
      <c r="O716" s="64">
        <f t="shared" si="22"/>
        <v>1433.513386849882</v>
      </c>
      <c r="P716" s="64">
        <f t="shared" si="23"/>
        <v>35.837834671247052</v>
      </c>
    </row>
    <row r="717" spans="1:16" ht="15">
      <c r="A717" s="3" t="str">
        <f>"054213"</f>
        <v>054213</v>
      </c>
      <c r="B717" s="3" t="s">
        <v>2976</v>
      </c>
      <c r="C717" s="61" t="s">
        <v>3276</v>
      </c>
      <c r="D717" s="3" t="s">
        <v>3249</v>
      </c>
      <c r="E717" s="3">
        <v>1</v>
      </c>
      <c r="F717" s="3" t="s">
        <v>3220</v>
      </c>
      <c r="G717" s="9">
        <v>136</v>
      </c>
      <c r="H717" s="66">
        <v>4012</v>
      </c>
      <c r="I717" s="9">
        <v>150.90539999999999</v>
      </c>
      <c r="J717" s="10">
        <v>1.1095985294117645</v>
      </c>
      <c r="K717" s="66">
        <v>787.23300757338075</v>
      </c>
      <c r="L717" s="69">
        <v>4799.2330075733807</v>
      </c>
      <c r="M717" s="64">
        <v>0</v>
      </c>
      <c r="N717" s="67">
        <v>0</v>
      </c>
      <c r="O717" s="64">
        <f t="shared" si="22"/>
        <v>4799.2330075733807</v>
      </c>
      <c r="P717" s="64">
        <f t="shared" si="23"/>
        <v>35.288477996863094</v>
      </c>
    </row>
    <row r="718" spans="1:16" ht="15">
      <c r="A718" s="3" t="str">
        <f>"094490"</f>
        <v>094490</v>
      </c>
      <c r="B718" s="3" t="s">
        <v>2573</v>
      </c>
      <c r="C718" s="61" t="s">
        <v>3276</v>
      </c>
      <c r="D718" s="3" t="s">
        <v>3249</v>
      </c>
      <c r="E718" s="3">
        <v>1</v>
      </c>
      <c r="F718" s="3" t="s">
        <v>3220</v>
      </c>
      <c r="G718" s="9">
        <v>83</v>
      </c>
      <c r="H718" s="66">
        <v>2448.5</v>
      </c>
      <c r="I718" s="9">
        <v>83</v>
      </c>
      <c r="J718" s="10">
        <v>1</v>
      </c>
      <c r="K718" s="66">
        <v>0</v>
      </c>
      <c r="L718" s="69">
        <v>2448.5</v>
      </c>
      <c r="M718" s="64">
        <v>0</v>
      </c>
      <c r="N718" s="67">
        <v>0</v>
      </c>
      <c r="O718" s="64">
        <f t="shared" si="22"/>
        <v>2448.5</v>
      </c>
      <c r="P718" s="64">
        <f t="shared" si="23"/>
        <v>29.5</v>
      </c>
    </row>
    <row r="719" spans="1:16" ht="15">
      <c r="A719" s="3" t="str">
        <f>"060624"</f>
        <v>060624</v>
      </c>
      <c r="B719" s="3" t="s">
        <v>2589</v>
      </c>
      <c r="C719" s="61" t="s">
        <v>3276</v>
      </c>
      <c r="D719" s="3" t="s">
        <v>3249</v>
      </c>
      <c r="E719" s="3">
        <v>1</v>
      </c>
      <c r="F719" s="3" t="s">
        <v>3220</v>
      </c>
      <c r="G719" s="9">
        <v>200</v>
      </c>
      <c r="H719" s="66">
        <v>5900</v>
      </c>
      <c r="I719" s="9">
        <v>200</v>
      </c>
      <c r="J719" s="10">
        <v>1</v>
      </c>
      <c r="K719" s="66">
        <v>0</v>
      </c>
      <c r="L719" s="69">
        <v>5900</v>
      </c>
      <c r="M719" s="64">
        <v>0</v>
      </c>
      <c r="N719" s="67">
        <v>0</v>
      </c>
      <c r="O719" s="64">
        <f t="shared" si="22"/>
        <v>5900</v>
      </c>
      <c r="P719" s="64">
        <f t="shared" si="23"/>
        <v>29.5</v>
      </c>
    </row>
    <row r="720" spans="1:16" ht="15">
      <c r="A720" s="3" t="str">
        <f>"017460"</f>
        <v>017460</v>
      </c>
      <c r="B720" s="3" t="s">
        <v>2686</v>
      </c>
      <c r="C720" s="61" t="s">
        <v>3276</v>
      </c>
      <c r="D720" s="3" t="s">
        <v>3249</v>
      </c>
      <c r="E720" s="3">
        <v>1</v>
      </c>
      <c r="F720" s="3" t="s">
        <v>3220</v>
      </c>
      <c r="G720" s="9">
        <v>13</v>
      </c>
      <c r="H720" s="66">
        <v>383.5</v>
      </c>
      <c r="I720" s="9">
        <v>13</v>
      </c>
      <c r="J720" s="10">
        <v>1</v>
      </c>
      <c r="K720" s="66">
        <v>0</v>
      </c>
      <c r="L720" s="69">
        <v>383.5</v>
      </c>
      <c r="M720" s="64">
        <v>0</v>
      </c>
      <c r="N720" s="67">
        <v>0</v>
      </c>
      <c r="O720" s="64">
        <f t="shared" si="22"/>
        <v>383.5</v>
      </c>
      <c r="P720" s="64">
        <f t="shared" si="23"/>
        <v>29.5</v>
      </c>
    </row>
    <row r="721" spans="1:16" ht="15">
      <c r="A721" s="3" t="str">
        <f>"096172"</f>
        <v>096172</v>
      </c>
      <c r="B721" s="3" t="s">
        <v>3096</v>
      </c>
      <c r="C721" s="61" t="s">
        <v>3276</v>
      </c>
      <c r="D721" s="3" t="s">
        <v>3249</v>
      </c>
      <c r="E721" s="3">
        <v>1</v>
      </c>
      <c r="F721" s="3" t="s">
        <v>3220</v>
      </c>
      <c r="G721" s="9">
        <v>14</v>
      </c>
      <c r="H721" s="66">
        <v>413</v>
      </c>
      <c r="I721" s="9">
        <v>14</v>
      </c>
      <c r="J721" s="10">
        <v>1</v>
      </c>
      <c r="K721" s="66">
        <v>0</v>
      </c>
      <c r="L721" s="69">
        <v>413</v>
      </c>
      <c r="M721" s="64">
        <v>0</v>
      </c>
      <c r="N721" s="67">
        <v>0</v>
      </c>
      <c r="O721" s="64">
        <f t="shared" si="22"/>
        <v>413</v>
      </c>
      <c r="P721" s="64">
        <f t="shared" si="23"/>
        <v>29.5</v>
      </c>
    </row>
    <row r="722" spans="1:16" ht="15">
      <c r="A722" s="3" t="str">
        <f>"054270"</f>
        <v>054270</v>
      </c>
      <c r="B722" s="3" t="s">
        <v>2857</v>
      </c>
      <c r="C722" s="61" t="s">
        <v>3276</v>
      </c>
      <c r="D722" s="3" t="s">
        <v>3249</v>
      </c>
      <c r="E722" s="3">
        <v>1</v>
      </c>
      <c r="F722" s="3" t="s">
        <v>3220</v>
      </c>
      <c r="G722" s="9">
        <v>298</v>
      </c>
      <c r="H722" s="66">
        <v>8791</v>
      </c>
      <c r="I722" s="9">
        <v>315.4228</v>
      </c>
      <c r="J722" s="10">
        <v>1.0584657718120805</v>
      </c>
      <c r="K722" s="66">
        <v>920.19021591835894</v>
      </c>
      <c r="L722" s="69">
        <v>9711.1902159183592</v>
      </c>
      <c r="M722" s="64">
        <v>0</v>
      </c>
      <c r="N722" s="67">
        <v>0</v>
      </c>
      <c r="O722" s="64">
        <f t="shared" si="22"/>
        <v>9711.1902159183592</v>
      </c>
      <c r="P722" s="64">
        <f t="shared" si="23"/>
        <v>32.587886630598518</v>
      </c>
    </row>
    <row r="723" spans="1:16" ht="15">
      <c r="A723" s="3" t="str">
        <f>"064923"</f>
        <v>064923</v>
      </c>
      <c r="B723" s="3" t="s">
        <v>3125</v>
      </c>
      <c r="C723" s="61" t="s">
        <v>3276</v>
      </c>
      <c r="D723" s="3" t="s">
        <v>3249</v>
      </c>
      <c r="E723" s="3">
        <v>1</v>
      </c>
      <c r="F723" s="3" t="s">
        <v>3220</v>
      </c>
      <c r="G723" s="9">
        <v>150</v>
      </c>
      <c r="H723" s="66">
        <v>4425</v>
      </c>
      <c r="I723" s="9">
        <v>150</v>
      </c>
      <c r="J723" s="10">
        <v>1</v>
      </c>
      <c r="K723" s="66">
        <v>0</v>
      </c>
      <c r="L723" s="69">
        <v>4425</v>
      </c>
      <c r="M723" s="64">
        <v>0</v>
      </c>
      <c r="N723" s="67">
        <v>0</v>
      </c>
      <c r="O723" s="64">
        <f t="shared" si="22"/>
        <v>4425</v>
      </c>
      <c r="P723" s="64">
        <f t="shared" si="23"/>
        <v>29.5</v>
      </c>
    </row>
    <row r="724" spans="1:16" ht="15">
      <c r="A724" s="3" t="str">
        <f>"120675"</f>
        <v>120675</v>
      </c>
      <c r="B724" s="3" t="s">
        <v>3066</v>
      </c>
      <c r="C724" s="61" t="s">
        <v>3276</v>
      </c>
      <c r="D724" s="3" t="s">
        <v>3249</v>
      </c>
      <c r="E724" s="3">
        <v>1</v>
      </c>
      <c r="F724" s="3" t="s">
        <v>3220</v>
      </c>
      <c r="G724" s="9">
        <v>64</v>
      </c>
      <c r="H724" s="66">
        <v>1888</v>
      </c>
      <c r="I724" s="9">
        <v>64</v>
      </c>
      <c r="J724" s="10">
        <v>1</v>
      </c>
      <c r="K724" s="66">
        <v>0</v>
      </c>
      <c r="L724" s="69">
        <v>1888</v>
      </c>
      <c r="M724" s="64">
        <v>0</v>
      </c>
      <c r="N724" s="67">
        <v>0</v>
      </c>
      <c r="O724" s="64">
        <f t="shared" si="22"/>
        <v>1888</v>
      </c>
      <c r="P724" s="64">
        <f t="shared" si="23"/>
        <v>29.5</v>
      </c>
    </row>
    <row r="725" spans="1:16" ht="15">
      <c r="A725" s="3" t="str">
        <f>"125013"</f>
        <v>125013</v>
      </c>
      <c r="B725" s="3" t="s">
        <v>3058</v>
      </c>
      <c r="C725" s="61" t="s">
        <v>3276</v>
      </c>
      <c r="D725" s="3" t="s">
        <v>3249</v>
      </c>
      <c r="E725" s="3">
        <v>1</v>
      </c>
      <c r="F725" s="3" t="s">
        <v>3220</v>
      </c>
      <c r="G725" s="9">
        <v>18</v>
      </c>
      <c r="H725" s="66">
        <v>531</v>
      </c>
      <c r="I725" s="9">
        <v>18</v>
      </c>
      <c r="J725" s="10">
        <v>1</v>
      </c>
      <c r="K725" s="66">
        <v>0</v>
      </c>
      <c r="L725" s="69">
        <v>531</v>
      </c>
      <c r="M725" s="64">
        <v>0</v>
      </c>
      <c r="N725" s="67">
        <v>0</v>
      </c>
      <c r="O725" s="64">
        <f t="shared" si="22"/>
        <v>531</v>
      </c>
      <c r="P725" s="64">
        <f t="shared" si="23"/>
        <v>29.5</v>
      </c>
    </row>
    <row r="726" spans="1:16" ht="15">
      <c r="A726" s="3" t="str">
        <f>"132597"</f>
        <v>132597</v>
      </c>
      <c r="B726" s="3" t="s">
        <v>3048</v>
      </c>
      <c r="C726" s="61" t="s">
        <v>3276</v>
      </c>
      <c r="D726" s="3" t="s">
        <v>3249</v>
      </c>
      <c r="E726" s="3">
        <v>1</v>
      </c>
      <c r="F726" s="3" t="s">
        <v>3220</v>
      </c>
      <c r="G726" s="9">
        <v>13</v>
      </c>
      <c r="H726" s="66">
        <v>383.5</v>
      </c>
      <c r="I726" s="9">
        <v>13</v>
      </c>
      <c r="J726" s="10">
        <v>1</v>
      </c>
      <c r="K726" s="66">
        <v>0</v>
      </c>
      <c r="L726" s="69">
        <v>383.5</v>
      </c>
      <c r="M726" s="64">
        <v>0</v>
      </c>
      <c r="N726" s="67">
        <v>0</v>
      </c>
      <c r="O726" s="64">
        <f t="shared" si="22"/>
        <v>383.5</v>
      </c>
      <c r="P726" s="64">
        <f t="shared" si="23"/>
        <v>29.5</v>
      </c>
    </row>
    <row r="727" spans="1:16" ht="15">
      <c r="A727" s="3" t="s">
        <v>367</v>
      </c>
      <c r="B727" s="3" t="s">
        <v>368</v>
      </c>
      <c r="C727" s="61" t="s">
        <v>3276</v>
      </c>
      <c r="D727" s="3" t="s">
        <v>1684</v>
      </c>
      <c r="E727" s="3">
        <v>1</v>
      </c>
      <c r="F727" s="3" t="s">
        <v>3266</v>
      </c>
      <c r="G727" s="9">
        <v>942.04722800000002</v>
      </c>
      <c r="H727" s="66">
        <v>27790.393226</v>
      </c>
      <c r="I727" s="9">
        <v>1188.24812183478</v>
      </c>
      <c r="J727" s="10">
        <v>1.2613466570646075</v>
      </c>
      <c r="K727" s="66">
        <v>13003.171341984023</v>
      </c>
      <c r="L727" s="69">
        <v>40793.564567984024</v>
      </c>
      <c r="M727" s="64">
        <v>0</v>
      </c>
      <c r="N727" s="67">
        <v>0</v>
      </c>
      <c r="O727" s="64">
        <f t="shared" si="22"/>
        <v>40793.564567984024</v>
      </c>
      <c r="P727" s="64">
        <f t="shared" si="23"/>
        <v>43.303099202988179</v>
      </c>
    </row>
    <row r="728" spans="1:16" ht="15">
      <c r="A728" s="3" t="str">
        <f>"052894"</f>
        <v>052894</v>
      </c>
      <c r="B728" s="3" t="s">
        <v>3149</v>
      </c>
      <c r="C728" s="61" t="s">
        <v>3276</v>
      </c>
      <c r="D728" s="3" t="s">
        <v>3249</v>
      </c>
      <c r="E728" s="3">
        <v>1</v>
      </c>
      <c r="F728" s="3" t="s">
        <v>3220</v>
      </c>
      <c r="G728" s="9">
        <v>688</v>
      </c>
      <c r="H728" s="66">
        <v>20296</v>
      </c>
      <c r="I728" s="9">
        <v>688</v>
      </c>
      <c r="J728" s="10">
        <v>1</v>
      </c>
      <c r="K728" s="66">
        <v>0</v>
      </c>
      <c r="L728" s="69">
        <v>20296</v>
      </c>
      <c r="M728" s="64">
        <v>0</v>
      </c>
      <c r="N728" s="67">
        <v>0</v>
      </c>
      <c r="O728" s="64">
        <f t="shared" si="22"/>
        <v>20296</v>
      </c>
      <c r="P728" s="64">
        <f t="shared" si="23"/>
        <v>29.5</v>
      </c>
    </row>
    <row r="729" spans="1:16" ht="15">
      <c r="A729" s="3" t="str">
        <f>"060590"</f>
        <v>060590</v>
      </c>
      <c r="B729" s="3" t="s">
        <v>2847</v>
      </c>
      <c r="C729" s="61" t="s">
        <v>3276</v>
      </c>
      <c r="D729" s="3" t="s">
        <v>3249</v>
      </c>
      <c r="E729" s="3">
        <v>1</v>
      </c>
      <c r="F729" s="3" t="s">
        <v>3220</v>
      </c>
      <c r="G729" s="9">
        <v>232</v>
      </c>
      <c r="H729" s="66">
        <v>6844</v>
      </c>
      <c r="I729" s="9">
        <v>259.64800000000002</v>
      </c>
      <c r="J729" s="10">
        <v>1.1191724137931036</v>
      </c>
      <c r="K729" s="66">
        <v>1460.2371082553216</v>
      </c>
      <c r="L729" s="69">
        <v>8304.2371082553218</v>
      </c>
      <c r="M729" s="64">
        <v>0</v>
      </c>
      <c r="N729" s="67">
        <v>0</v>
      </c>
      <c r="O729" s="64">
        <f t="shared" si="22"/>
        <v>8304.2371082553218</v>
      </c>
      <c r="P729" s="64">
        <f t="shared" si="23"/>
        <v>35.794125466617764</v>
      </c>
    </row>
    <row r="730" spans="1:16" ht="15">
      <c r="A730" s="3" t="str">
        <f>"111898"</f>
        <v>111898</v>
      </c>
      <c r="B730" s="3" t="s">
        <v>2566</v>
      </c>
      <c r="C730" s="61" t="s">
        <v>3276</v>
      </c>
      <c r="D730" s="3" t="s">
        <v>3249</v>
      </c>
      <c r="E730" s="3">
        <v>1</v>
      </c>
      <c r="F730" s="3" t="s">
        <v>3220</v>
      </c>
      <c r="G730" s="9">
        <v>406</v>
      </c>
      <c r="H730" s="66">
        <v>11977</v>
      </c>
      <c r="I730" s="9">
        <v>406</v>
      </c>
      <c r="J730" s="10">
        <v>1</v>
      </c>
      <c r="K730" s="66">
        <v>0</v>
      </c>
      <c r="L730" s="69">
        <v>11977</v>
      </c>
      <c r="M730" s="64">
        <v>0</v>
      </c>
      <c r="N730" s="67">
        <v>0</v>
      </c>
      <c r="O730" s="64">
        <f t="shared" si="22"/>
        <v>11977</v>
      </c>
      <c r="P730" s="64">
        <f t="shared" si="23"/>
        <v>29.5</v>
      </c>
    </row>
    <row r="731" spans="1:16" ht="15">
      <c r="A731" s="3" t="str">
        <f>"122697"</f>
        <v>122697</v>
      </c>
      <c r="B731" s="3" t="s">
        <v>2566</v>
      </c>
      <c r="C731" s="61" t="s">
        <v>3276</v>
      </c>
      <c r="D731" s="3" t="s">
        <v>3249</v>
      </c>
      <c r="E731" s="3">
        <v>1</v>
      </c>
      <c r="F731" s="3" t="s">
        <v>3220</v>
      </c>
      <c r="G731" s="9">
        <v>388</v>
      </c>
      <c r="H731" s="66">
        <v>11446</v>
      </c>
      <c r="I731" s="9">
        <v>388</v>
      </c>
      <c r="J731" s="10">
        <v>1</v>
      </c>
      <c r="K731" s="66">
        <v>0</v>
      </c>
      <c r="L731" s="69">
        <v>11446</v>
      </c>
      <c r="M731" s="64">
        <v>0</v>
      </c>
      <c r="N731" s="67">
        <v>0</v>
      </c>
      <c r="O731" s="64">
        <f t="shared" si="22"/>
        <v>11446</v>
      </c>
      <c r="P731" s="64">
        <f t="shared" si="23"/>
        <v>29.5</v>
      </c>
    </row>
    <row r="732" spans="1:16" ht="15">
      <c r="A732" s="3" t="str">
        <f>"008019"</f>
        <v>008019</v>
      </c>
      <c r="B732" s="3" t="s">
        <v>2611</v>
      </c>
      <c r="C732" s="61" t="s">
        <v>3276</v>
      </c>
      <c r="D732" s="3" t="s">
        <v>3249</v>
      </c>
      <c r="E732" s="3">
        <v>1</v>
      </c>
      <c r="F732" s="3" t="s">
        <v>3220</v>
      </c>
      <c r="G732" s="9">
        <v>216</v>
      </c>
      <c r="H732" s="66">
        <v>6372</v>
      </c>
      <c r="I732" s="9">
        <v>216</v>
      </c>
      <c r="J732" s="10">
        <v>1</v>
      </c>
      <c r="K732" s="66">
        <v>0</v>
      </c>
      <c r="L732" s="69">
        <v>6372</v>
      </c>
      <c r="M732" s="64">
        <v>0</v>
      </c>
      <c r="N732" s="67">
        <v>0</v>
      </c>
      <c r="O732" s="64">
        <f t="shared" si="22"/>
        <v>6372</v>
      </c>
      <c r="P732" s="64">
        <f t="shared" si="23"/>
        <v>29.5</v>
      </c>
    </row>
    <row r="733" spans="1:16" ht="15">
      <c r="A733" s="3" t="str">
        <f>"133207"</f>
        <v>133207</v>
      </c>
      <c r="B733" s="3" t="s">
        <v>2975</v>
      </c>
      <c r="C733" s="61" t="s">
        <v>3276</v>
      </c>
      <c r="D733" s="3" t="s">
        <v>3249</v>
      </c>
      <c r="E733" s="3">
        <v>1</v>
      </c>
      <c r="F733" s="3" t="s">
        <v>3220</v>
      </c>
      <c r="G733" s="9">
        <v>107</v>
      </c>
      <c r="H733" s="66">
        <v>3156.5</v>
      </c>
      <c r="I733" s="9">
        <v>115.75579999999999</v>
      </c>
      <c r="J733" s="10">
        <v>1.081829906542056</v>
      </c>
      <c r="K733" s="66">
        <v>462.44010678754063</v>
      </c>
      <c r="L733" s="69">
        <v>3618.9401067875406</v>
      </c>
      <c r="M733" s="64">
        <v>0</v>
      </c>
      <c r="N733" s="67">
        <v>0</v>
      </c>
      <c r="O733" s="64">
        <f t="shared" si="22"/>
        <v>3618.9401067875406</v>
      </c>
      <c r="P733" s="64">
        <f t="shared" si="23"/>
        <v>33.821870156892899</v>
      </c>
    </row>
    <row r="734" spans="1:16" ht="15">
      <c r="A734" s="3" t="s">
        <v>597</v>
      </c>
      <c r="B734" s="3" t="s">
        <v>1853</v>
      </c>
      <c r="C734" s="61" t="s">
        <v>3276</v>
      </c>
      <c r="D734" s="3" t="s">
        <v>3248</v>
      </c>
      <c r="E734" s="3">
        <v>1</v>
      </c>
      <c r="F734" s="3" t="s">
        <v>1908</v>
      </c>
      <c r="G734" s="9">
        <v>35977.204177</v>
      </c>
      <c r="H734" s="66">
        <v>1061327.5232215</v>
      </c>
      <c r="I734" s="9">
        <v>50184.514975384802</v>
      </c>
      <c r="J734" s="10">
        <v>1.394897578157767</v>
      </c>
      <c r="K734" s="66">
        <v>750363.2246932151</v>
      </c>
      <c r="L734" s="69">
        <v>1811690.7479147152</v>
      </c>
      <c r="M734" s="64">
        <v>23227385.6750274</v>
      </c>
      <c r="N734" s="67">
        <v>465576.72575194965</v>
      </c>
      <c r="O734" s="64">
        <f t="shared" si="22"/>
        <v>2277267.4736666647</v>
      </c>
      <c r="P734" s="64">
        <f t="shared" si="23"/>
        <v>63.297510903376626</v>
      </c>
    </row>
    <row r="735" spans="1:16" ht="15">
      <c r="A735" s="3" t="s">
        <v>289</v>
      </c>
      <c r="B735" s="3" t="s">
        <v>290</v>
      </c>
      <c r="C735" s="61" t="s">
        <v>3276</v>
      </c>
      <c r="D735" s="3" t="s">
        <v>1684</v>
      </c>
      <c r="E735" s="3">
        <v>1</v>
      </c>
      <c r="F735" s="3" t="s">
        <v>3266</v>
      </c>
      <c r="G735" s="9">
        <v>217.96367900000001</v>
      </c>
      <c r="H735" s="66">
        <v>6429.9285305000003</v>
      </c>
      <c r="I735" s="9">
        <v>314.25533404828502</v>
      </c>
      <c r="J735" s="10">
        <v>1.4417784444181867</v>
      </c>
      <c r="K735" s="66">
        <v>5085.6715826398486</v>
      </c>
      <c r="L735" s="69">
        <v>11515.600113139848</v>
      </c>
      <c r="M735" s="64">
        <v>0</v>
      </c>
      <c r="N735" s="67">
        <v>0</v>
      </c>
      <c r="O735" s="64">
        <f t="shared" si="22"/>
        <v>11515.600113139848</v>
      </c>
      <c r="P735" s="64">
        <f t="shared" si="23"/>
        <v>52.832656183693096</v>
      </c>
    </row>
    <row r="736" spans="1:16" ht="15">
      <c r="A736" s="3" t="str">
        <f>"017431"</f>
        <v>017431</v>
      </c>
      <c r="B736" s="3" t="s">
        <v>2717</v>
      </c>
      <c r="C736" s="61" t="s">
        <v>3276</v>
      </c>
      <c r="D736" s="3" t="s">
        <v>3249</v>
      </c>
      <c r="E736" s="3">
        <v>1</v>
      </c>
      <c r="F736" s="3" t="s">
        <v>3220</v>
      </c>
      <c r="G736" s="9">
        <v>14</v>
      </c>
      <c r="H736" s="66">
        <v>413</v>
      </c>
      <c r="I736" s="9">
        <v>19.4618</v>
      </c>
      <c r="J736" s="10">
        <v>1.3901285714285714</v>
      </c>
      <c r="K736" s="66">
        <v>288.46654506180948</v>
      </c>
      <c r="L736" s="69">
        <v>701.46654506180948</v>
      </c>
      <c r="M736" s="64">
        <v>0</v>
      </c>
      <c r="N736" s="67">
        <v>0</v>
      </c>
      <c r="O736" s="64">
        <f t="shared" si="22"/>
        <v>701.46654506180948</v>
      </c>
      <c r="P736" s="64">
        <f t="shared" si="23"/>
        <v>50.104753218700679</v>
      </c>
    </row>
    <row r="737" spans="1:16" ht="15">
      <c r="A737" s="3" t="str">
        <f>"134338"</f>
        <v>134338</v>
      </c>
      <c r="B737" s="3" t="s">
        <v>2753</v>
      </c>
      <c r="C737" s="61" t="s">
        <v>3276</v>
      </c>
      <c r="D737" s="3" t="s">
        <v>3249</v>
      </c>
      <c r="E737" s="3">
        <v>1</v>
      </c>
      <c r="F737" s="3" t="s">
        <v>3220</v>
      </c>
      <c r="G737" s="9">
        <v>233</v>
      </c>
      <c r="H737" s="66">
        <v>6873.5</v>
      </c>
      <c r="I737" s="9">
        <v>245.1114</v>
      </c>
      <c r="J737" s="10">
        <v>1.0519802575107295</v>
      </c>
      <c r="K737" s="66">
        <v>639.66709031117955</v>
      </c>
      <c r="L737" s="69">
        <v>7513.1670903111799</v>
      </c>
      <c r="M737" s="64">
        <v>0</v>
      </c>
      <c r="N737" s="67">
        <v>0</v>
      </c>
      <c r="O737" s="64">
        <f t="shared" si="22"/>
        <v>7513.1670903111799</v>
      </c>
      <c r="P737" s="64">
        <f t="shared" si="23"/>
        <v>32.245352318932106</v>
      </c>
    </row>
    <row r="738" spans="1:16" ht="15">
      <c r="A738" s="3" t="str">
        <f>"054031"</f>
        <v>054031</v>
      </c>
      <c r="B738" s="3" t="s">
        <v>3001</v>
      </c>
      <c r="C738" s="61" t="s">
        <v>3276</v>
      </c>
      <c r="D738" s="3" t="s">
        <v>3249</v>
      </c>
      <c r="E738" s="3">
        <v>1</v>
      </c>
      <c r="F738" s="3" t="s">
        <v>3220</v>
      </c>
      <c r="G738" s="9">
        <v>84</v>
      </c>
      <c r="H738" s="66">
        <v>2478</v>
      </c>
      <c r="I738" s="9">
        <v>98.60560000000001</v>
      </c>
      <c r="J738" s="10">
        <v>1.1738761904761905</v>
      </c>
      <c r="K738" s="66">
        <v>771.39898395304976</v>
      </c>
      <c r="L738" s="69">
        <v>3249.3989839530495</v>
      </c>
      <c r="M738" s="64">
        <v>0</v>
      </c>
      <c r="N738" s="67">
        <v>0</v>
      </c>
      <c r="O738" s="64">
        <f t="shared" si="22"/>
        <v>3249.3989839530495</v>
      </c>
      <c r="P738" s="64">
        <f t="shared" si="23"/>
        <v>38.683321237536305</v>
      </c>
    </row>
    <row r="739" spans="1:16" ht="15">
      <c r="A739" s="3" t="str">
        <f>"055038"</f>
        <v>055038</v>
      </c>
      <c r="B739" s="3" t="s">
        <v>2978</v>
      </c>
      <c r="C739" s="61" t="s">
        <v>3276</v>
      </c>
      <c r="D739" s="3" t="s">
        <v>3249</v>
      </c>
      <c r="E739" s="3">
        <v>1</v>
      </c>
      <c r="F739" s="3" t="s">
        <v>3220</v>
      </c>
      <c r="G739" s="9">
        <v>169</v>
      </c>
      <c r="H739" s="66">
        <v>4985.5</v>
      </c>
      <c r="I739" s="9">
        <v>209.44039999999998</v>
      </c>
      <c r="J739" s="10">
        <v>1.2392923076923077</v>
      </c>
      <c r="K739" s="66">
        <v>2135.8714103258258</v>
      </c>
      <c r="L739" s="69">
        <v>7121.3714103258262</v>
      </c>
      <c r="M739" s="64">
        <v>0</v>
      </c>
      <c r="N739" s="67">
        <v>0</v>
      </c>
      <c r="O739" s="64">
        <f t="shared" si="22"/>
        <v>7121.3714103258262</v>
      </c>
      <c r="P739" s="64">
        <f t="shared" si="23"/>
        <v>42.138292368791873</v>
      </c>
    </row>
    <row r="740" spans="1:16" ht="15">
      <c r="A740" s="52" t="s">
        <v>3229</v>
      </c>
      <c r="B740" s="52" t="s">
        <v>3230</v>
      </c>
      <c r="C740" s="61" t="s">
        <v>3276</v>
      </c>
      <c r="D740" s="3" t="s">
        <v>1684</v>
      </c>
      <c r="E740" s="3">
        <v>1</v>
      </c>
      <c r="F740" s="3" t="s">
        <v>3266</v>
      </c>
      <c r="G740" s="9">
        <v>42.57</v>
      </c>
      <c r="H740" s="66">
        <v>1255.8150000000001</v>
      </c>
      <c r="I740" s="9">
        <v>47.232754</v>
      </c>
      <c r="J740" s="10">
        <v>1.10953145407564</v>
      </c>
      <c r="K740" s="66">
        <v>246.26469970579888</v>
      </c>
      <c r="L740" s="69">
        <v>1502.0796997057989</v>
      </c>
      <c r="M740" s="64">
        <v>0</v>
      </c>
      <c r="N740" s="67">
        <v>0</v>
      </c>
      <c r="O740" s="64">
        <f t="shared" si="22"/>
        <v>1502.0796997057989</v>
      </c>
      <c r="P740" s="64">
        <f t="shared" si="23"/>
        <v>35.284935393605799</v>
      </c>
    </row>
    <row r="741" spans="1:16" ht="15">
      <c r="A741" s="3" t="s">
        <v>612</v>
      </c>
      <c r="B741" s="3" t="s">
        <v>613</v>
      </c>
      <c r="C741" s="61" t="s">
        <v>3276</v>
      </c>
      <c r="D741" s="3" t="s">
        <v>3248</v>
      </c>
      <c r="E741" s="3">
        <v>1</v>
      </c>
      <c r="F741" s="3" t="s">
        <v>1909</v>
      </c>
      <c r="G741" s="9">
        <v>1217.34635</v>
      </c>
      <c r="H741" s="66">
        <v>35911.717324999998</v>
      </c>
      <c r="I741" s="9">
        <v>1523.0184470715899</v>
      </c>
      <c r="J741" s="10">
        <v>1.2510970662306498</v>
      </c>
      <c r="K741" s="66">
        <v>16144.160123775966</v>
      </c>
      <c r="L741" s="69">
        <v>52055.877448775966</v>
      </c>
      <c r="M741" s="64">
        <v>47694.020517136996</v>
      </c>
      <c r="N741" s="67">
        <v>955.99333566793064</v>
      </c>
      <c r="O741" s="64">
        <f t="shared" si="22"/>
        <v>53011.870784443898</v>
      </c>
      <c r="P741" s="64">
        <f t="shared" si="23"/>
        <v>43.547073340667509</v>
      </c>
    </row>
    <row r="742" spans="1:16" ht="15">
      <c r="A742" s="3" t="str">
        <f>"012508"</f>
        <v>012508</v>
      </c>
      <c r="B742" s="3" t="s">
        <v>3021</v>
      </c>
      <c r="C742" s="61" t="s">
        <v>3276</v>
      </c>
      <c r="D742" s="3" t="s">
        <v>3249</v>
      </c>
      <c r="E742" s="3">
        <v>1</v>
      </c>
      <c r="F742" s="3" t="s">
        <v>3220</v>
      </c>
      <c r="G742" s="9">
        <v>301</v>
      </c>
      <c r="H742" s="66">
        <v>8879.5</v>
      </c>
      <c r="I742" s="9">
        <v>345.60739999999998</v>
      </c>
      <c r="J742" s="10">
        <v>1.148197342192691</v>
      </c>
      <c r="K742" s="66">
        <v>2355.9527192848795</v>
      </c>
      <c r="L742" s="69">
        <v>11235.45271928488</v>
      </c>
      <c r="M742" s="64">
        <v>0</v>
      </c>
      <c r="N742" s="67">
        <v>0</v>
      </c>
      <c r="O742" s="64">
        <f t="shared" si="22"/>
        <v>11235.45271928488</v>
      </c>
      <c r="P742" s="64">
        <f t="shared" si="23"/>
        <v>37.327085446129168</v>
      </c>
    </row>
    <row r="743" spans="1:16" ht="15">
      <c r="A743" s="3" t="s">
        <v>346</v>
      </c>
      <c r="B743" s="3" t="s">
        <v>347</v>
      </c>
      <c r="C743" s="61" t="s">
        <v>3276</v>
      </c>
      <c r="D743" s="3" t="s">
        <v>1684</v>
      </c>
      <c r="E743" s="3">
        <v>1</v>
      </c>
      <c r="F743" s="3" t="s">
        <v>3266</v>
      </c>
      <c r="G743" s="9">
        <v>688.39546600000006</v>
      </c>
      <c r="H743" s="66">
        <v>20307.666247000001</v>
      </c>
      <c r="I743" s="9">
        <v>983.75242964488996</v>
      </c>
      <c r="J743" s="10">
        <v>1.4290512913472471</v>
      </c>
      <c r="K743" s="66">
        <v>15599.363371523648</v>
      </c>
      <c r="L743" s="69">
        <v>35907.029618523651</v>
      </c>
      <c r="M743" s="64">
        <v>0</v>
      </c>
      <c r="N743" s="67">
        <v>0</v>
      </c>
      <c r="O743" s="64">
        <f t="shared" si="22"/>
        <v>35907.029618523651</v>
      </c>
      <c r="P743" s="64">
        <f t="shared" si="23"/>
        <v>52.160467917032513</v>
      </c>
    </row>
    <row r="744" spans="1:16" ht="15">
      <c r="A744" s="3" t="str">
        <f>"052951"</f>
        <v>052951</v>
      </c>
      <c r="B744" s="3" t="s">
        <v>2926</v>
      </c>
      <c r="C744" s="61" t="s">
        <v>3276</v>
      </c>
      <c r="D744" s="3" t="s">
        <v>3249</v>
      </c>
      <c r="E744" s="3">
        <v>1</v>
      </c>
      <c r="F744" s="3" t="s">
        <v>3220</v>
      </c>
      <c r="G744" s="9">
        <v>724</v>
      </c>
      <c r="H744" s="66">
        <v>21358</v>
      </c>
      <c r="I744" s="9">
        <v>777.20660000000009</v>
      </c>
      <c r="J744" s="10">
        <v>1.0734897790055249</v>
      </c>
      <c r="K744" s="66">
        <v>2810.1219518264488</v>
      </c>
      <c r="L744" s="69">
        <v>24168.121951826448</v>
      </c>
      <c r="M744" s="64">
        <v>0</v>
      </c>
      <c r="N744" s="67">
        <v>0</v>
      </c>
      <c r="O744" s="64">
        <f t="shared" si="22"/>
        <v>24168.121951826448</v>
      </c>
      <c r="P744" s="64">
        <f t="shared" si="23"/>
        <v>33.381383911362498</v>
      </c>
    </row>
    <row r="745" spans="1:16" ht="15">
      <c r="A745" s="3" t="s">
        <v>1180</v>
      </c>
      <c r="B745" s="3" t="s">
        <v>1181</v>
      </c>
      <c r="C745" s="61" t="s">
        <v>3276</v>
      </c>
      <c r="D745" s="3" t="s">
        <v>3248</v>
      </c>
      <c r="E745" s="3">
        <v>1</v>
      </c>
      <c r="F745" s="3" t="s">
        <v>1906</v>
      </c>
      <c r="G745" s="9">
        <v>1344.2991159999999</v>
      </c>
      <c r="H745" s="66">
        <v>39656.823921999996</v>
      </c>
      <c r="I745" s="9">
        <v>1707.9296809371599</v>
      </c>
      <c r="J745" s="10">
        <v>1.2704982548966877</v>
      </c>
      <c r="K745" s="66">
        <v>19205.253349865703</v>
      </c>
      <c r="L745" s="69">
        <v>58862.077271865695</v>
      </c>
      <c r="M745" s="64">
        <v>539713.96425758488</v>
      </c>
      <c r="N745" s="67">
        <v>10818.189521509925</v>
      </c>
      <c r="O745" s="64">
        <f t="shared" si="22"/>
        <v>69680.266793375617</v>
      </c>
      <c r="P745" s="64">
        <f t="shared" si="23"/>
        <v>51.833900628240556</v>
      </c>
    </row>
    <row r="746" spans="1:16" ht="15">
      <c r="A746" s="3" t="s">
        <v>1182</v>
      </c>
      <c r="B746" s="3" t="s">
        <v>1183</v>
      </c>
      <c r="C746" s="61" t="s">
        <v>3276</v>
      </c>
      <c r="D746" s="3" t="s">
        <v>3248</v>
      </c>
      <c r="E746" s="3">
        <v>1</v>
      </c>
      <c r="F746" s="3" t="s">
        <v>1907</v>
      </c>
      <c r="G746" s="9">
        <v>7261.8017099999997</v>
      </c>
      <c r="H746" s="66">
        <v>214223.15044499998</v>
      </c>
      <c r="I746" s="9">
        <v>8228.3572056234807</v>
      </c>
      <c r="J746" s="10">
        <v>1.1331013341072735</v>
      </c>
      <c r="K746" s="66">
        <v>51048.907765390613</v>
      </c>
      <c r="L746" s="69">
        <v>265272.05821039062</v>
      </c>
      <c r="M746" s="64">
        <v>4099623.1986479275</v>
      </c>
      <c r="N746" s="67">
        <v>82174.084175789845</v>
      </c>
      <c r="O746" s="64">
        <f t="shared" si="22"/>
        <v>347446.14238618047</v>
      </c>
      <c r="P746" s="64">
        <f t="shared" si="23"/>
        <v>47.845721524965803</v>
      </c>
    </row>
    <row r="747" spans="1:16" ht="15">
      <c r="A747" s="3" t="s">
        <v>479</v>
      </c>
      <c r="B747" s="3" t="s">
        <v>1698</v>
      </c>
      <c r="C747" s="61" t="s">
        <v>3276</v>
      </c>
      <c r="D747" s="3" t="s">
        <v>456</v>
      </c>
      <c r="E747" s="3">
        <v>1</v>
      </c>
      <c r="F747" s="3" t="s">
        <v>1897</v>
      </c>
      <c r="G747" s="9">
        <v>3736.6911519999999</v>
      </c>
      <c r="H747" s="66">
        <v>110232.38898399999</v>
      </c>
      <c r="I747" s="9">
        <v>4566.0481264273203</v>
      </c>
      <c r="J747" s="10">
        <v>1.2219495646525191</v>
      </c>
      <c r="K747" s="66">
        <v>43802.728228050204</v>
      </c>
      <c r="L747" s="69">
        <v>154035.11721205019</v>
      </c>
      <c r="M747" s="64">
        <v>0</v>
      </c>
      <c r="N747" s="67">
        <v>0</v>
      </c>
      <c r="O747" s="64">
        <f t="shared" si="22"/>
        <v>154035.11721205019</v>
      </c>
      <c r="P747" s="64">
        <f t="shared" si="23"/>
        <v>41.222330384357704</v>
      </c>
    </row>
    <row r="748" spans="1:16" ht="15">
      <c r="A748" s="3" t="str">
        <f>"054320"</f>
        <v>054320</v>
      </c>
      <c r="B748" s="3" t="s">
        <v>2826</v>
      </c>
      <c r="C748" s="61" t="s">
        <v>3276</v>
      </c>
      <c r="D748" s="3" t="s">
        <v>3249</v>
      </c>
      <c r="E748" s="3">
        <v>1</v>
      </c>
      <c r="F748" s="3" t="s">
        <v>3220</v>
      </c>
      <c r="G748" s="9">
        <v>381</v>
      </c>
      <c r="H748" s="66">
        <v>11239.5</v>
      </c>
      <c r="I748" s="9">
        <v>393.19839999999999</v>
      </c>
      <c r="J748" s="10">
        <v>1.0320167979002624</v>
      </c>
      <c r="K748" s="66">
        <v>644.26202044783304</v>
      </c>
      <c r="L748" s="69">
        <v>11883.762020447833</v>
      </c>
      <c r="M748" s="64">
        <v>0</v>
      </c>
      <c r="N748" s="67">
        <v>0</v>
      </c>
      <c r="O748" s="64">
        <f t="shared" si="22"/>
        <v>11883.762020447833</v>
      </c>
      <c r="P748" s="64">
        <f t="shared" si="23"/>
        <v>31.19097643162161</v>
      </c>
    </row>
    <row r="749" spans="1:16" ht="15">
      <c r="A749" s="3" t="s">
        <v>1680</v>
      </c>
      <c r="B749" s="3" t="s">
        <v>1681</v>
      </c>
      <c r="C749" s="61" t="s">
        <v>3276</v>
      </c>
      <c r="D749" s="3" t="s">
        <v>1684</v>
      </c>
      <c r="E749" s="3">
        <v>1</v>
      </c>
      <c r="F749" s="3" t="s">
        <v>3266</v>
      </c>
      <c r="G749" s="9">
        <v>618.63385300000004</v>
      </c>
      <c r="H749" s="66">
        <v>18249.698663500003</v>
      </c>
      <c r="I749" s="9">
        <v>686.45995938068302</v>
      </c>
      <c r="J749" s="10">
        <v>1.1096385302093756</v>
      </c>
      <c r="K749" s="66">
        <v>3582.2554052931946</v>
      </c>
      <c r="L749" s="69">
        <v>21831.954068793199</v>
      </c>
      <c r="M749" s="64">
        <v>0</v>
      </c>
      <c r="N749" s="67">
        <v>0</v>
      </c>
      <c r="O749" s="64">
        <f t="shared" si="22"/>
        <v>21831.954068793199</v>
      </c>
      <c r="P749" s="64">
        <f t="shared" si="23"/>
        <v>35.290590650546243</v>
      </c>
    </row>
    <row r="750" spans="1:16" ht="15">
      <c r="A750" s="19">
        <v>67231</v>
      </c>
      <c r="B750" s="20" t="s">
        <v>1928</v>
      </c>
      <c r="C750" s="61" t="s">
        <v>3276</v>
      </c>
      <c r="D750" s="19" t="s">
        <v>1973</v>
      </c>
      <c r="E750" s="19">
        <v>1</v>
      </c>
      <c r="F750" s="19" t="s">
        <v>1974</v>
      </c>
      <c r="G750" s="9">
        <v>70.17</v>
      </c>
      <c r="H750" s="66">
        <v>2070.0149999999999</v>
      </c>
      <c r="I750" s="9">
        <v>333.29401200000001</v>
      </c>
      <c r="J750" s="10">
        <v>4.7498077811030353</v>
      </c>
      <c r="K750" s="66">
        <v>13896.970717426873</v>
      </c>
      <c r="L750" s="69">
        <v>15966.985717426873</v>
      </c>
      <c r="M750" s="64">
        <v>0</v>
      </c>
      <c r="N750" s="67">
        <v>0</v>
      </c>
      <c r="O750" s="64">
        <f t="shared" si="22"/>
        <v>15966.985717426873</v>
      </c>
      <c r="P750" s="64">
        <f t="shared" si="23"/>
        <v>227.54718137988988</v>
      </c>
    </row>
    <row r="751" spans="1:16" ht="15">
      <c r="A751" s="3" t="str">
        <f>"019213"</f>
        <v>019213</v>
      </c>
      <c r="B751" s="3" t="s">
        <v>2597</v>
      </c>
      <c r="C751" s="61" t="s">
        <v>3276</v>
      </c>
      <c r="D751" s="3" t="s">
        <v>3249</v>
      </c>
      <c r="E751" s="3">
        <v>1</v>
      </c>
      <c r="F751" s="3" t="s">
        <v>3220</v>
      </c>
      <c r="G751" s="9">
        <v>11</v>
      </c>
      <c r="H751" s="66">
        <v>324.5</v>
      </c>
      <c r="I751" s="9">
        <v>11</v>
      </c>
      <c r="J751" s="10">
        <v>1</v>
      </c>
      <c r="K751" s="66">
        <v>0</v>
      </c>
      <c r="L751" s="69">
        <v>324.5</v>
      </c>
      <c r="M751" s="64">
        <v>0</v>
      </c>
      <c r="N751" s="67">
        <v>0</v>
      </c>
      <c r="O751" s="64">
        <f t="shared" si="22"/>
        <v>324.5</v>
      </c>
      <c r="P751" s="64">
        <f t="shared" si="23"/>
        <v>29.5</v>
      </c>
    </row>
    <row r="752" spans="1:16" ht="15">
      <c r="A752" s="3" t="str">
        <f>"008973"</f>
        <v>008973</v>
      </c>
      <c r="B752" s="3" t="s">
        <v>3205</v>
      </c>
      <c r="C752" s="61" t="s">
        <v>3276</v>
      </c>
      <c r="D752" s="3" t="s">
        <v>3249</v>
      </c>
      <c r="E752" s="3">
        <v>1</v>
      </c>
      <c r="F752" s="3" t="s">
        <v>3220</v>
      </c>
      <c r="G752" s="9">
        <v>34</v>
      </c>
      <c r="H752" s="66">
        <v>1003</v>
      </c>
      <c r="I752" s="9">
        <v>34</v>
      </c>
      <c r="J752" s="10">
        <v>1</v>
      </c>
      <c r="K752" s="66">
        <v>0</v>
      </c>
      <c r="L752" s="69">
        <v>1003</v>
      </c>
      <c r="M752" s="64">
        <v>0</v>
      </c>
      <c r="N752" s="67">
        <v>0</v>
      </c>
      <c r="O752" s="64">
        <f t="shared" si="22"/>
        <v>1003</v>
      </c>
      <c r="P752" s="64">
        <f t="shared" si="23"/>
        <v>29.5</v>
      </c>
    </row>
    <row r="753" spans="1:16" ht="15">
      <c r="A753" s="3" t="str">
        <f>"132506"</f>
        <v>132506</v>
      </c>
      <c r="B753" s="3" t="s">
        <v>2828</v>
      </c>
      <c r="C753" s="61" t="s">
        <v>3276</v>
      </c>
      <c r="D753" s="3" t="s">
        <v>3249</v>
      </c>
      <c r="E753" s="3">
        <v>1</v>
      </c>
      <c r="F753" s="3" t="s">
        <v>3220</v>
      </c>
      <c r="G753" s="9">
        <v>48</v>
      </c>
      <c r="H753" s="66">
        <v>1416</v>
      </c>
      <c r="I753" s="9">
        <v>60.535800000000002</v>
      </c>
      <c r="J753" s="10">
        <v>1.2611625</v>
      </c>
      <c r="K753" s="66">
        <v>662.08189893182316</v>
      </c>
      <c r="L753" s="69">
        <v>2078.0818989318232</v>
      </c>
      <c r="M753" s="64">
        <v>0</v>
      </c>
      <c r="N753" s="67">
        <v>0</v>
      </c>
      <c r="O753" s="64">
        <f t="shared" si="22"/>
        <v>2078.0818989318232</v>
      </c>
      <c r="P753" s="64">
        <f t="shared" si="23"/>
        <v>43.293372894412983</v>
      </c>
    </row>
    <row r="754" spans="1:16" ht="15">
      <c r="A754" s="3" t="str">
        <f>"054361"</f>
        <v>054361</v>
      </c>
      <c r="B754" s="3" t="s">
        <v>2734</v>
      </c>
      <c r="C754" s="61" t="s">
        <v>3276</v>
      </c>
      <c r="D754" s="3" t="s">
        <v>3249</v>
      </c>
      <c r="E754" s="3">
        <v>1</v>
      </c>
      <c r="F754" s="3" t="s">
        <v>3220</v>
      </c>
      <c r="G754" s="9">
        <v>191</v>
      </c>
      <c r="H754" s="66">
        <v>5634.5</v>
      </c>
      <c r="I754" s="9">
        <v>246.35239999999999</v>
      </c>
      <c r="J754" s="10">
        <v>1.2898031413612565</v>
      </c>
      <c r="K754" s="66">
        <v>2923.4529988061263</v>
      </c>
      <c r="L754" s="69">
        <v>8557.9529988061258</v>
      </c>
      <c r="M754" s="64">
        <v>0</v>
      </c>
      <c r="N754" s="67">
        <v>0</v>
      </c>
      <c r="O754" s="64">
        <f t="shared" si="22"/>
        <v>8557.9529988061258</v>
      </c>
      <c r="P754" s="64">
        <f t="shared" si="23"/>
        <v>44.80603664296401</v>
      </c>
    </row>
    <row r="755" spans="1:16" ht="15">
      <c r="A755" s="3" t="s">
        <v>107</v>
      </c>
      <c r="B755" s="3" t="s">
        <v>108</v>
      </c>
      <c r="C755" s="61" t="s">
        <v>3276</v>
      </c>
      <c r="D755" s="3" t="s">
        <v>1684</v>
      </c>
      <c r="E755" s="3">
        <v>1</v>
      </c>
      <c r="F755" s="3" t="s">
        <v>3266</v>
      </c>
      <c r="G755" s="9">
        <v>225.22448900000001</v>
      </c>
      <c r="H755" s="66">
        <v>6644.1224254999997</v>
      </c>
      <c r="I755" s="9">
        <v>302.87685572276303</v>
      </c>
      <c r="J755" s="10">
        <v>1.3447776352719931</v>
      </c>
      <c r="K755" s="66">
        <v>4101.2321843326508</v>
      </c>
      <c r="L755" s="69">
        <v>10745.354609832651</v>
      </c>
      <c r="M755" s="64">
        <v>0</v>
      </c>
      <c r="N755" s="67">
        <v>0</v>
      </c>
      <c r="O755" s="64">
        <f t="shared" si="22"/>
        <v>10745.354609832651</v>
      </c>
      <c r="P755" s="64">
        <f t="shared" si="23"/>
        <v>47.709530422478394</v>
      </c>
    </row>
    <row r="756" spans="1:16" ht="15">
      <c r="A756" s="3" t="str">
        <f>"054437"</f>
        <v>054437</v>
      </c>
      <c r="B756" s="3" t="s">
        <v>2841</v>
      </c>
      <c r="C756" s="61" t="s">
        <v>3276</v>
      </c>
      <c r="D756" s="3" t="s">
        <v>3249</v>
      </c>
      <c r="E756" s="3">
        <v>1</v>
      </c>
      <c r="F756" s="3" t="s">
        <v>3220</v>
      </c>
      <c r="G756" s="9">
        <v>550</v>
      </c>
      <c r="H756" s="66">
        <v>16225</v>
      </c>
      <c r="I756" s="9">
        <v>569.47239999999999</v>
      </c>
      <c r="J756" s="10">
        <v>1.0354043636363637</v>
      </c>
      <c r="K756" s="66">
        <v>1028.4404321032584</v>
      </c>
      <c r="L756" s="69">
        <v>17253.44043210326</v>
      </c>
      <c r="M756" s="64">
        <v>0</v>
      </c>
      <c r="N756" s="67">
        <v>0</v>
      </c>
      <c r="O756" s="64">
        <f t="shared" si="22"/>
        <v>17253.44043210326</v>
      </c>
      <c r="P756" s="64">
        <f t="shared" si="23"/>
        <v>31.369891694733198</v>
      </c>
    </row>
    <row r="757" spans="1:16" ht="15">
      <c r="A757" s="3" t="s">
        <v>906</v>
      </c>
      <c r="B757" s="3" t="s">
        <v>907</v>
      </c>
      <c r="C757" s="61" t="s">
        <v>3276</v>
      </c>
      <c r="D757" s="3" t="s">
        <v>3248</v>
      </c>
      <c r="E757" s="3">
        <v>1</v>
      </c>
      <c r="F757" s="3" t="s">
        <v>1907</v>
      </c>
      <c r="G757" s="9">
        <v>2003.466054</v>
      </c>
      <c r="H757" s="66">
        <v>59102.248592999997</v>
      </c>
      <c r="I757" s="9">
        <v>2211.9892224140099</v>
      </c>
      <c r="J757" s="10">
        <v>1.1040812086622007</v>
      </c>
      <c r="K757" s="66">
        <v>11013.211387771664</v>
      </c>
      <c r="L757" s="69">
        <v>70115.459980771659</v>
      </c>
      <c r="M757" s="64">
        <v>1558561.7800609169</v>
      </c>
      <c r="N757" s="67">
        <v>31240.282509410565</v>
      </c>
      <c r="O757" s="64">
        <f t="shared" si="22"/>
        <v>101355.74249018222</v>
      </c>
      <c r="P757" s="64">
        <f t="shared" si="23"/>
        <v>50.590197067637575</v>
      </c>
    </row>
    <row r="758" spans="1:16" ht="15">
      <c r="A758" s="3" t="str">
        <f>"054809"</f>
        <v>054809</v>
      </c>
      <c r="B758" s="3" t="s">
        <v>2884</v>
      </c>
      <c r="C758" s="61" t="s">
        <v>3276</v>
      </c>
      <c r="D758" s="3" t="s">
        <v>3249</v>
      </c>
      <c r="E758" s="3">
        <v>1</v>
      </c>
      <c r="F758" s="3" t="s">
        <v>3220</v>
      </c>
      <c r="G758" s="9">
        <v>406</v>
      </c>
      <c r="H758" s="66">
        <v>11977</v>
      </c>
      <c r="I758" s="9">
        <v>433.94720000000001</v>
      </c>
      <c r="J758" s="10">
        <v>1.0688354679802956</v>
      </c>
      <c r="K758" s="66">
        <v>1476.0394427022968</v>
      </c>
      <c r="L758" s="69">
        <v>13453.039442702297</v>
      </c>
      <c r="M758" s="64">
        <v>0</v>
      </c>
      <c r="N758" s="67">
        <v>0</v>
      </c>
      <c r="O758" s="64">
        <f t="shared" si="22"/>
        <v>13453.039442702297</v>
      </c>
      <c r="P758" s="64">
        <f t="shared" si="23"/>
        <v>33.135565129808612</v>
      </c>
    </row>
    <row r="759" spans="1:16" ht="15">
      <c r="A759" s="3" t="str">
        <f>"132688"</f>
        <v>132688</v>
      </c>
      <c r="B759" s="3" t="s">
        <v>3047</v>
      </c>
      <c r="C759" s="61" t="s">
        <v>3276</v>
      </c>
      <c r="D759" s="3" t="s">
        <v>3249</v>
      </c>
      <c r="E759" s="3">
        <v>1</v>
      </c>
      <c r="F759" s="3" t="s">
        <v>3220</v>
      </c>
      <c r="G759" s="9">
        <v>12</v>
      </c>
      <c r="H759" s="66">
        <v>354</v>
      </c>
      <c r="I759" s="9">
        <v>12</v>
      </c>
      <c r="J759" s="10">
        <v>1</v>
      </c>
      <c r="K759" s="66">
        <v>0</v>
      </c>
      <c r="L759" s="69">
        <v>354</v>
      </c>
      <c r="M759" s="64">
        <v>0</v>
      </c>
      <c r="N759" s="67">
        <v>0</v>
      </c>
      <c r="O759" s="64">
        <f t="shared" si="22"/>
        <v>354</v>
      </c>
      <c r="P759" s="64">
        <f t="shared" si="23"/>
        <v>29.5</v>
      </c>
    </row>
    <row r="760" spans="1:16" ht="15">
      <c r="A760" s="3" t="s">
        <v>74</v>
      </c>
      <c r="B760" s="3" t="s">
        <v>75</v>
      </c>
      <c r="C760" s="61" t="s">
        <v>3276</v>
      </c>
      <c r="D760" s="3" t="s">
        <v>1684</v>
      </c>
      <c r="E760" s="3">
        <v>1</v>
      </c>
      <c r="F760" s="3" t="s">
        <v>3266</v>
      </c>
      <c r="G760" s="9">
        <v>125.150014</v>
      </c>
      <c r="H760" s="66">
        <v>3691.9254129999999</v>
      </c>
      <c r="I760" s="9">
        <v>159.49945360661701</v>
      </c>
      <c r="J760" s="10">
        <v>1.2744661267606172</v>
      </c>
      <c r="K760" s="66">
        <v>1814.1755773060327</v>
      </c>
      <c r="L760" s="69">
        <v>5506.1009903060331</v>
      </c>
      <c r="M760" s="64">
        <v>0</v>
      </c>
      <c r="N760" s="67">
        <v>0</v>
      </c>
      <c r="O760" s="64">
        <f t="shared" si="22"/>
        <v>5506.1009903060331</v>
      </c>
      <c r="P760" s="64">
        <f t="shared" si="23"/>
        <v>43.996007785552727</v>
      </c>
    </row>
    <row r="761" spans="1:16" ht="15">
      <c r="A761" s="3" t="str">
        <f>"053140"</f>
        <v>053140</v>
      </c>
      <c r="B761" s="3" t="s">
        <v>2933</v>
      </c>
      <c r="C761" s="61" t="s">
        <v>3276</v>
      </c>
      <c r="D761" s="3" t="s">
        <v>3249</v>
      </c>
      <c r="E761" s="3">
        <v>1</v>
      </c>
      <c r="F761" s="3" t="s">
        <v>3220</v>
      </c>
      <c r="G761" s="9">
        <v>550</v>
      </c>
      <c r="H761" s="66">
        <v>16225</v>
      </c>
      <c r="I761" s="9">
        <v>608.45540000000005</v>
      </c>
      <c r="J761" s="10">
        <v>1.1062825454545455</v>
      </c>
      <c r="K761" s="66">
        <v>3087.3388403467929</v>
      </c>
      <c r="L761" s="69">
        <v>19312.338840346794</v>
      </c>
      <c r="M761" s="64">
        <v>0</v>
      </c>
      <c r="N761" s="67">
        <v>0</v>
      </c>
      <c r="O761" s="64">
        <f t="shared" si="22"/>
        <v>19312.338840346794</v>
      </c>
      <c r="P761" s="64">
        <f t="shared" si="23"/>
        <v>35.113343346085081</v>
      </c>
    </row>
    <row r="762" spans="1:16" ht="15">
      <c r="A762" s="3" t="s">
        <v>385</v>
      </c>
      <c r="B762" s="3" t="s">
        <v>386</v>
      </c>
      <c r="C762" s="61" t="s">
        <v>3276</v>
      </c>
      <c r="D762" s="3" t="s">
        <v>1684</v>
      </c>
      <c r="E762" s="3">
        <v>1</v>
      </c>
      <c r="F762" s="3" t="s">
        <v>3266</v>
      </c>
      <c r="G762" s="9">
        <v>93.913030000000006</v>
      </c>
      <c r="H762" s="66">
        <v>2770.434385</v>
      </c>
      <c r="I762" s="9">
        <v>144.756398382865</v>
      </c>
      <c r="J762" s="10">
        <v>1.5413877965907925</v>
      </c>
      <c r="K762" s="66">
        <v>2685.3071911658985</v>
      </c>
      <c r="L762" s="69">
        <v>5455.7415761658986</v>
      </c>
      <c r="M762" s="64">
        <v>0</v>
      </c>
      <c r="N762" s="67">
        <v>0</v>
      </c>
      <c r="O762" s="64">
        <f t="shared" si="22"/>
        <v>5455.7415761658986</v>
      </c>
      <c r="P762" s="64">
        <f t="shared" si="23"/>
        <v>58.093552898526418</v>
      </c>
    </row>
    <row r="763" spans="1:16" ht="15">
      <c r="A763" s="3" t="str">
        <f>"096347"</f>
        <v>096347</v>
      </c>
      <c r="B763" s="3" t="s">
        <v>3093</v>
      </c>
      <c r="C763" s="61" t="s">
        <v>3276</v>
      </c>
      <c r="D763" s="3" t="s">
        <v>3249</v>
      </c>
      <c r="E763" s="3">
        <v>1</v>
      </c>
      <c r="F763" s="3" t="s">
        <v>3220</v>
      </c>
      <c r="G763" s="9">
        <v>88</v>
      </c>
      <c r="H763" s="66">
        <v>2596</v>
      </c>
      <c r="I763" s="9">
        <v>88</v>
      </c>
      <c r="J763" s="10">
        <v>1</v>
      </c>
      <c r="K763" s="66">
        <v>0</v>
      </c>
      <c r="L763" s="69">
        <v>2596</v>
      </c>
      <c r="M763" s="64">
        <v>0</v>
      </c>
      <c r="N763" s="67">
        <v>0</v>
      </c>
      <c r="O763" s="64">
        <f t="shared" si="22"/>
        <v>2596</v>
      </c>
      <c r="P763" s="64">
        <f t="shared" si="23"/>
        <v>29.5</v>
      </c>
    </row>
    <row r="764" spans="1:16" ht="15">
      <c r="A764" s="3" t="s">
        <v>677</v>
      </c>
      <c r="B764" s="3" t="s">
        <v>678</v>
      </c>
      <c r="C764" s="61" t="s">
        <v>3276</v>
      </c>
      <c r="D764" s="3" t="s">
        <v>3248</v>
      </c>
      <c r="E764" s="3">
        <v>1</v>
      </c>
      <c r="F764" s="3" t="s">
        <v>1909</v>
      </c>
      <c r="G764" s="9">
        <v>541.21539600000006</v>
      </c>
      <c r="H764" s="66">
        <v>15965.854182000001</v>
      </c>
      <c r="I764" s="9">
        <v>783.75438435039905</v>
      </c>
      <c r="J764" s="10">
        <v>1.4481376364067791</v>
      </c>
      <c r="K764" s="66">
        <v>12809.766745802861</v>
      </c>
      <c r="L764" s="69">
        <v>28775.620927802862</v>
      </c>
      <c r="M764" s="64">
        <v>17623.312050842702</v>
      </c>
      <c r="N764" s="67">
        <v>353.24698338124716</v>
      </c>
      <c r="O764" s="64">
        <f t="shared" si="22"/>
        <v>29128.867911184108</v>
      </c>
      <c r="P764" s="64">
        <f t="shared" si="23"/>
        <v>53.821210790507713</v>
      </c>
    </row>
    <row r="765" spans="1:16" ht="15">
      <c r="A765" s="3" t="s">
        <v>685</v>
      </c>
      <c r="B765" s="3" t="s">
        <v>686</v>
      </c>
      <c r="C765" s="61" t="s">
        <v>3276</v>
      </c>
      <c r="D765" s="3" t="s">
        <v>3248</v>
      </c>
      <c r="E765" s="3">
        <v>1</v>
      </c>
      <c r="F765" s="3" t="s">
        <v>1907</v>
      </c>
      <c r="G765" s="9">
        <v>4427.6684519999999</v>
      </c>
      <c r="H765" s="66">
        <v>130616.21933399999</v>
      </c>
      <c r="I765" s="9">
        <v>5198.8568669090901</v>
      </c>
      <c r="J765" s="10">
        <v>1.1741748333845414</v>
      </c>
      <c r="K765" s="66">
        <v>40730.538950624061</v>
      </c>
      <c r="L765" s="69">
        <v>171346.75828462405</v>
      </c>
      <c r="M765" s="64">
        <v>3184312.3632238409</v>
      </c>
      <c r="N765" s="67">
        <v>63827.31765784313</v>
      </c>
      <c r="O765" s="64">
        <f t="shared" si="22"/>
        <v>235174.0759424672</v>
      </c>
      <c r="P765" s="64">
        <f t="shared" si="23"/>
        <v>53.114653568118428</v>
      </c>
    </row>
    <row r="766" spans="1:16" ht="15">
      <c r="A766" s="3" t="s">
        <v>687</v>
      </c>
      <c r="B766" s="3" t="s">
        <v>688</v>
      </c>
      <c r="C766" s="61" t="s">
        <v>3276</v>
      </c>
      <c r="D766" s="3" t="s">
        <v>3248</v>
      </c>
      <c r="E766" s="3">
        <v>1</v>
      </c>
      <c r="F766" s="3" t="s">
        <v>1907</v>
      </c>
      <c r="G766" s="9">
        <v>1474.9013299999999</v>
      </c>
      <c r="H766" s="66">
        <v>43509.589234999999</v>
      </c>
      <c r="I766" s="9">
        <v>1680.92245932739</v>
      </c>
      <c r="J766" s="10">
        <v>1.1396846861121144</v>
      </c>
      <c r="K766" s="66">
        <v>10881.065470505046</v>
      </c>
      <c r="L766" s="69">
        <v>54390.654705505047</v>
      </c>
      <c r="M766" s="64">
        <v>767715.58322690881</v>
      </c>
      <c r="N766" s="67">
        <v>15388.322756091273</v>
      </c>
      <c r="O766" s="64">
        <f t="shared" si="22"/>
        <v>69778.977461596325</v>
      </c>
      <c r="P766" s="64">
        <f t="shared" si="23"/>
        <v>47.310946191631906</v>
      </c>
    </row>
    <row r="767" spans="1:16" ht="15">
      <c r="A767" s="3" t="s">
        <v>693</v>
      </c>
      <c r="B767" s="3" t="s">
        <v>694</v>
      </c>
      <c r="C767" s="61" t="s">
        <v>3276</v>
      </c>
      <c r="D767" s="3" t="s">
        <v>3248</v>
      </c>
      <c r="E767" s="3">
        <v>1</v>
      </c>
      <c r="F767" s="3" t="s">
        <v>1907</v>
      </c>
      <c r="G767" s="9">
        <v>1615.6095869999999</v>
      </c>
      <c r="H767" s="66">
        <v>47660.4828165</v>
      </c>
      <c r="I767" s="9">
        <v>1807.6087511727901</v>
      </c>
      <c r="J767" s="10">
        <v>1.1188400748037837</v>
      </c>
      <c r="K767" s="66">
        <v>10140.4913295397</v>
      </c>
      <c r="L767" s="69">
        <v>57800.974146039698</v>
      </c>
      <c r="M767" s="64">
        <v>419655.17543675675</v>
      </c>
      <c r="N767" s="67">
        <v>8411.6949388224566</v>
      </c>
      <c r="O767" s="64">
        <f t="shared" si="22"/>
        <v>66212.669084862151</v>
      </c>
      <c r="P767" s="64">
        <f t="shared" si="23"/>
        <v>40.983087509285838</v>
      </c>
    </row>
    <row r="768" spans="1:16" ht="15">
      <c r="A768" s="3" t="str">
        <f>"053298"</f>
        <v>053298</v>
      </c>
      <c r="B768" s="3" t="s">
        <v>2912</v>
      </c>
      <c r="C768" s="61" t="s">
        <v>3276</v>
      </c>
      <c r="D768" s="3" t="s">
        <v>3249</v>
      </c>
      <c r="E768" s="3">
        <v>1</v>
      </c>
      <c r="F768" s="3" t="s">
        <v>3220</v>
      </c>
      <c r="G768" s="9">
        <v>501</v>
      </c>
      <c r="H768" s="66">
        <v>14779.5</v>
      </c>
      <c r="I768" s="9">
        <v>528.38380000000006</v>
      </c>
      <c r="J768" s="10">
        <v>1.0546582834331339</v>
      </c>
      <c r="K768" s="66">
        <v>1446.2833089207948</v>
      </c>
      <c r="L768" s="69">
        <v>16225.783308920794</v>
      </c>
      <c r="M768" s="64">
        <v>0</v>
      </c>
      <c r="N768" s="67">
        <v>0</v>
      </c>
      <c r="O768" s="64">
        <f t="shared" si="22"/>
        <v>16225.783308920794</v>
      </c>
      <c r="P768" s="64">
        <f t="shared" si="23"/>
        <v>32.386793031778033</v>
      </c>
    </row>
    <row r="769" spans="1:16" ht="15">
      <c r="A769" s="3" t="str">
        <f>"053272"</f>
        <v>053272</v>
      </c>
      <c r="B769" s="3" t="s">
        <v>2896</v>
      </c>
      <c r="C769" s="61" t="s">
        <v>3276</v>
      </c>
      <c r="D769" s="3" t="s">
        <v>3249</v>
      </c>
      <c r="E769" s="3">
        <v>1</v>
      </c>
      <c r="F769" s="3" t="s">
        <v>3220</v>
      </c>
      <c r="G769" s="9">
        <v>558</v>
      </c>
      <c r="H769" s="66">
        <v>16461</v>
      </c>
      <c r="I769" s="9">
        <v>589.83420000000001</v>
      </c>
      <c r="J769" s="10">
        <v>1.0570505376344086</v>
      </c>
      <c r="K769" s="66">
        <v>1681.3324707617739</v>
      </c>
      <c r="L769" s="69">
        <v>18142.332470761772</v>
      </c>
      <c r="M769" s="64">
        <v>0</v>
      </c>
      <c r="N769" s="67">
        <v>0</v>
      </c>
      <c r="O769" s="64">
        <f t="shared" si="22"/>
        <v>18142.332470761772</v>
      </c>
      <c r="P769" s="64">
        <f t="shared" si="23"/>
        <v>32.513140628605328</v>
      </c>
    </row>
    <row r="770" spans="1:16" ht="15">
      <c r="A770" s="3" t="str">
        <f>"067447"</f>
        <v>067447</v>
      </c>
      <c r="B770" s="3" t="s">
        <v>2955</v>
      </c>
      <c r="C770" s="61" t="s">
        <v>3276</v>
      </c>
      <c r="D770" s="3" t="s">
        <v>3249</v>
      </c>
      <c r="E770" s="3">
        <v>1</v>
      </c>
      <c r="F770" s="3" t="s">
        <v>3220</v>
      </c>
      <c r="G770" s="9">
        <v>202</v>
      </c>
      <c r="H770" s="66">
        <v>5959</v>
      </c>
      <c r="I770" s="9">
        <v>222.28820000000002</v>
      </c>
      <c r="J770" s="10">
        <v>1.1004366336633664</v>
      </c>
      <c r="K770" s="66">
        <v>1071.5271448099543</v>
      </c>
      <c r="L770" s="69">
        <v>7030.5271448099538</v>
      </c>
      <c r="M770" s="64">
        <v>0</v>
      </c>
      <c r="N770" s="67">
        <v>0</v>
      </c>
      <c r="O770" s="64">
        <f t="shared" si="22"/>
        <v>7030.5271448099538</v>
      </c>
      <c r="P770" s="64">
        <f t="shared" si="23"/>
        <v>34.804589825791851</v>
      </c>
    </row>
    <row r="771" spans="1:16" ht="15">
      <c r="A771" s="3" t="str">
        <f>"126615"</f>
        <v>126615</v>
      </c>
      <c r="B771" s="3" t="s">
        <v>3055</v>
      </c>
      <c r="C771" s="61" t="s">
        <v>3276</v>
      </c>
      <c r="D771" s="3" t="s">
        <v>3249</v>
      </c>
      <c r="E771" s="3">
        <v>1</v>
      </c>
      <c r="F771" s="3" t="s">
        <v>3220</v>
      </c>
      <c r="G771" s="9">
        <v>834</v>
      </c>
      <c r="H771" s="66">
        <v>24603</v>
      </c>
      <c r="I771" s="9">
        <v>834</v>
      </c>
      <c r="J771" s="10">
        <v>1</v>
      </c>
      <c r="K771" s="66">
        <v>0</v>
      </c>
      <c r="L771" s="69">
        <v>24603</v>
      </c>
      <c r="M771" s="64">
        <v>0</v>
      </c>
      <c r="N771" s="67">
        <v>0</v>
      </c>
      <c r="O771" s="64">
        <f t="shared" ref="O771:O834" si="24">(N771+L771)</f>
        <v>24603</v>
      </c>
      <c r="P771" s="64">
        <f t="shared" ref="P771:P834" si="25">O771/G771</f>
        <v>29.5</v>
      </c>
    </row>
    <row r="772" spans="1:16" ht="15">
      <c r="A772" s="3" t="str">
        <f>"053306"</f>
        <v>053306</v>
      </c>
      <c r="B772" s="3" t="s">
        <v>2939</v>
      </c>
      <c r="C772" s="61" t="s">
        <v>3276</v>
      </c>
      <c r="D772" s="3" t="s">
        <v>3249</v>
      </c>
      <c r="E772" s="3">
        <v>1</v>
      </c>
      <c r="F772" s="3" t="s">
        <v>3220</v>
      </c>
      <c r="G772" s="9">
        <v>861</v>
      </c>
      <c r="H772" s="66">
        <v>25399.5</v>
      </c>
      <c r="I772" s="9">
        <v>921.46680000000003</v>
      </c>
      <c r="J772" s="10">
        <v>1.0702285714285715</v>
      </c>
      <c r="K772" s="66">
        <v>3193.5715124946778</v>
      </c>
      <c r="L772" s="69">
        <v>28593.071512494676</v>
      </c>
      <c r="M772" s="64">
        <v>0</v>
      </c>
      <c r="N772" s="67">
        <v>0</v>
      </c>
      <c r="O772" s="64">
        <f t="shared" si="24"/>
        <v>28593.071512494676</v>
      </c>
      <c r="P772" s="64">
        <f t="shared" si="25"/>
        <v>33.209142290934587</v>
      </c>
    </row>
    <row r="773" spans="1:16" ht="15">
      <c r="A773" s="3" t="s">
        <v>1829</v>
      </c>
      <c r="B773" s="3" t="s">
        <v>1830</v>
      </c>
      <c r="C773" s="61" t="s">
        <v>3276</v>
      </c>
      <c r="D773" s="3" t="s">
        <v>1684</v>
      </c>
      <c r="E773" s="3">
        <v>1</v>
      </c>
      <c r="F773" s="3" t="s">
        <v>3266</v>
      </c>
      <c r="G773" s="9">
        <v>303.46625499999999</v>
      </c>
      <c r="H773" s="66">
        <v>8952.2545224999994</v>
      </c>
      <c r="I773" s="9">
        <v>366.63511380126801</v>
      </c>
      <c r="J773" s="10">
        <v>1.2081577696382355</v>
      </c>
      <c r="K773" s="66">
        <v>3336.2815287815483</v>
      </c>
      <c r="L773" s="69">
        <v>12288.536051281548</v>
      </c>
      <c r="M773" s="64">
        <v>0</v>
      </c>
      <c r="N773" s="67">
        <v>0</v>
      </c>
      <c r="O773" s="64">
        <f t="shared" si="24"/>
        <v>12288.536051281548</v>
      </c>
      <c r="P773" s="64">
        <f t="shared" si="25"/>
        <v>40.493912745855539</v>
      </c>
    </row>
    <row r="774" spans="1:16" ht="15">
      <c r="A774" s="3" t="str">
        <f>"053322"</f>
        <v>053322</v>
      </c>
      <c r="B774" s="3" t="s">
        <v>2886</v>
      </c>
      <c r="C774" s="61" t="s">
        <v>3276</v>
      </c>
      <c r="D774" s="3" t="s">
        <v>3249</v>
      </c>
      <c r="E774" s="3">
        <v>1</v>
      </c>
      <c r="F774" s="3" t="s">
        <v>3220</v>
      </c>
      <c r="G774" s="9">
        <v>709</v>
      </c>
      <c r="H774" s="66">
        <v>20915.5</v>
      </c>
      <c r="I774" s="9">
        <v>730.38459999999998</v>
      </c>
      <c r="J774" s="10">
        <v>1.0301616361071932</v>
      </c>
      <c r="K774" s="66">
        <v>1129.4338275895793</v>
      </c>
      <c r="L774" s="69">
        <v>22044.933827589579</v>
      </c>
      <c r="M774" s="64">
        <v>0</v>
      </c>
      <c r="N774" s="67">
        <v>0</v>
      </c>
      <c r="O774" s="64">
        <f t="shared" si="24"/>
        <v>22044.933827589579</v>
      </c>
      <c r="P774" s="64">
        <f t="shared" si="25"/>
        <v>31.092995525514215</v>
      </c>
    </row>
    <row r="775" spans="1:16" ht="15">
      <c r="A775" s="3" t="s">
        <v>712</v>
      </c>
      <c r="B775" s="3" t="s">
        <v>713</v>
      </c>
      <c r="C775" s="61" t="s">
        <v>3276</v>
      </c>
      <c r="D775" s="3" t="s">
        <v>3248</v>
      </c>
      <c r="E775" s="3">
        <v>1</v>
      </c>
      <c r="F775" s="3" t="s">
        <v>1909</v>
      </c>
      <c r="G775" s="9">
        <v>3110.6540829999999</v>
      </c>
      <c r="H775" s="66">
        <v>91764.295448499994</v>
      </c>
      <c r="I775" s="9">
        <v>4544.7962792464004</v>
      </c>
      <c r="J775" s="10">
        <v>1.461042005308181</v>
      </c>
      <c r="K775" s="66">
        <v>75744.63445724023</v>
      </c>
      <c r="L775" s="69">
        <v>167508.92990574022</v>
      </c>
      <c r="M775" s="64">
        <v>1539671.0484225687</v>
      </c>
      <c r="N775" s="67">
        <v>30861.630985459818</v>
      </c>
      <c r="O775" s="64">
        <f t="shared" si="24"/>
        <v>198370.56089120003</v>
      </c>
      <c r="P775" s="64">
        <f t="shared" si="25"/>
        <v>63.771334130436657</v>
      </c>
    </row>
    <row r="776" spans="1:16" ht="15">
      <c r="A776" s="3" t="s">
        <v>134</v>
      </c>
      <c r="B776" s="3" t="s">
        <v>1781</v>
      </c>
      <c r="C776" s="61" t="s">
        <v>3276</v>
      </c>
      <c r="D776" s="3" t="s">
        <v>1684</v>
      </c>
      <c r="E776" s="3">
        <v>1</v>
      </c>
      <c r="F776" s="3" t="s">
        <v>3266</v>
      </c>
      <c r="G776" s="9">
        <v>264.022695</v>
      </c>
      <c r="H776" s="66">
        <v>7788.6695024999999</v>
      </c>
      <c r="I776" s="9">
        <v>378.24940391026303</v>
      </c>
      <c r="J776" s="10">
        <v>1.4326397354222258</v>
      </c>
      <c r="K776" s="66">
        <v>6032.9166342825774</v>
      </c>
      <c r="L776" s="69">
        <v>13821.586136782578</v>
      </c>
      <c r="M776" s="64">
        <v>0</v>
      </c>
      <c r="N776" s="67">
        <v>0</v>
      </c>
      <c r="O776" s="64">
        <f t="shared" si="24"/>
        <v>13821.586136782578</v>
      </c>
      <c r="P776" s="64">
        <f t="shared" si="25"/>
        <v>52.349992627651112</v>
      </c>
    </row>
    <row r="777" spans="1:16" ht="15">
      <c r="A777" s="3" t="str">
        <f>"054486"</f>
        <v>054486</v>
      </c>
      <c r="B777" s="3" t="s">
        <v>2853</v>
      </c>
      <c r="C777" s="61" t="s">
        <v>3276</v>
      </c>
      <c r="D777" s="3" t="s">
        <v>3249</v>
      </c>
      <c r="E777" s="3">
        <v>1</v>
      </c>
      <c r="F777" s="3" t="s">
        <v>3220</v>
      </c>
      <c r="G777" s="9">
        <v>414</v>
      </c>
      <c r="H777" s="66">
        <v>12213</v>
      </c>
      <c r="I777" s="9">
        <v>433.28540000000004</v>
      </c>
      <c r="J777" s="10">
        <v>1.0465830917874397</v>
      </c>
      <c r="K777" s="66">
        <v>1018.5639730739009</v>
      </c>
      <c r="L777" s="69">
        <v>13231.5639730739</v>
      </c>
      <c r="M777" s="64">
        <v>0</v>
      </c>
      <c r="N777" s="67">
        <v>0</v>
      </c>
      <c r="O777" s="64">
        <f t="shared" si="24"/>
        <v>13231.5639730739</v>
      </c>
      <c r="P777" s="64">
        <f t="shared" si="25"/>
        <v>31.960299451869325</v>
      </c>
    </row>
    <row r="778" spans="1:16" ht="15">
      <c r="A778" s="3" t="s">
        <v>731</v>
      </c>
      <c r="B778" s="3" t="s">
        <v>732</v>
      </c>
      <c r="C778" s="61" t="s">
        <v>3276</v>
      </c>
      <c r="D778" s="3" t="s">
        <v>3248</v>
      </c>
      <c r="E778" s="3">
        <v>1</v>
      </c>
      <c r="F778" s="3" t="s">
        <v>1909</v>
      </c>
      <c r="G778" s="9">
        <v>1554.929095</v>
      </c>
      <c r="H778" s="66">
        <v>45870.4083025</v>
      </c>
      <c r="I778" s="9">
        <v>2274.8322498053599</v>
      </c>
      <c r="J778" s="10">
        <v>1.4629813392265065</v>
      </c>
      <c r="K778" s="66">
        <v>38021.893120546185</v>
      </c>
      <c r="L778" s="69">
        <v>83892.301423046185</v>
      </c>
      <c r="M778" s="64">
        <v>48464.107680627232</v>
      </c>
      <c r="N778" s="67">
        <v>971.42919509428282</v>
      </c>
      <c r="O778" s="64">
        <f t="shared" si="24"/>
        <v>84863.730618140471</v>
      </c>
      <c r="P778" s="64">
        <f t="shared" si="25"/>
        <v>54.577234994847451</v>
      </c>
    </row>
    <row r="779" spans="1:16" ht="15">
      <c r="A779" s="3" t="s">
        <v>1184</v>
      </c>
      <c r="B779" s="3" t="s">
        <v>1867</v>
      </c>
      <c r="C779" s="61" t="s">
        <v>3276</v>
      </c>
      <c r="D779" s="3" t="s">
        <v>3248</v>
      </c>
      <c r="E779" s="3">
        <v>1</v>
      </c>
      <c r="F779" s="3" t="s">
        <v>1906</v>
      </c>
      <c r="G779" s="9">
        <v>8597.3469440000008</v>
      </c>
      <c r="H779" s="66">
        <v>253621.73484800002</v>
      </c>
      <c r="I779" s="9">
        <v>11101.297966546101</v>
      </c>
      <c r="J779" s="10">
        <v>1.2912469438369685</v>
      </c>
      <c r="K779" s="66">
        <v>132246.89671497646</v>
      </c>
      <c r="L779" s="69">
        <v>385868.63156297652</v>
      </c>
      <c r="M779" s="64">
        <v>5169138.002115719</v>
      </c>
      <c r="N779" s="67">
        <v>103611.7615497497</v>
      </c>
      <c r="O779" s="64">
        <f t="shared" si="24"/>
        <v>489480.39311272622</v>
      </c>
      <c r="P779" s="64">
        <f t="shared" si="25"/>
        <v>56.933888593891105</v>
      </c>
    </row>
    <row r="780" spans="1:16" ht="15">
      <c r="A780" s="3" t="s">
        <v>743</v>
      </c>
      <c r="B780" s="3" t="s">
        <v>1859</v>
      </c>
      <c r="C780" s="61" t="s">
        <v>3276</v>
      </c>
      <c r="D780" s="3" t="s">
        <v>3248</v>
      </c>
      <c r="E780" s="3">
        <v>1</v>
      </c>
      <c r="F780" s="3" t="s">
        <v>1909</v>
      </c>
      <c r="G780" s="9">
        <v>1892.1141829999999</v>
      </c>
      <c r="H780" s="66">
        <v>55817.368398499995</v>
      </c>
      <c r="I780" s="9">
        <v>2513.3332817231098</v>
      </c>
      <c r="J780" s="10">
        <v>1.3283200899314382</v>
      </c>
      <c r="K780" s="66">
        <v>32809.866186068088</v>
      </c>
      <c r="L780" s="69">
        <v>88627.234584568083</v>
      </c>
      <c r="M780" s="64">
        <v>59897.803623159452</v>
      </c>
      <c r="N780" s="67">
        <v>1200.6096459054447</v>
      </c>
      <c r="O780" s="64">
        <f t="shared" si="24"/>
        <v>89827.844230473522</v>
      </c>
      <c r="P780" s="64">
        <f t="shared" si="25"/>
        <v>47.47485381038102</v>
      </c>
    </row>
    <row r="781" spans="1:16" ht="15">
      <c r="A781" s="3" t="s">
        <v>1186</v>
      </c>
      <c r="B781" s="3" t="s">
        <v>1868</v>
      </c>
      <c r="C781" s="61" t="s">
        <v>3276</v>
      </c>
      <c r="D781" s="3" t="s">
        <v>3248</v>
      </c>
      <c r="E781" s="3">
        <v>1</v>
      </c>
      <c r="F781" s="3" t="s">
        <v>1906</v>
      </c>
      <c r="G781" s="9">
        <v>7396.794954</v>
      </c>
      <c r="H781" s="66">
        <v>218205.45114300001</v>
      </c>
      <c r="I781" s="9">
        <v>9058.8528524768408</v>
      </c>
      <c r="J781" s="10">
        <v>1.2246997393888879</v>
      </c>
      <c r="K781" s="66">
        <v>87782.068121554432</v>
      </c>
      <c r="L781" s="69">
        <v>305987.51926455443</v>
      </c>
      <c r="M781" s="64">
        <v>1971608.1295074152</v>
      </c>
      <c r="N781" s="67">
        <v>39519.508146321139</v>
      </c>
      <c r="O781" s="64">
        <f t="shared" si="24"/>
        <v>345507.02741087554</v>
      </c>
      <c r="P781" s="64">
        <f t="shared" si="25"/>
        <v>46.710369769549182</v>
      </c>
    </row>
    <row r="782" spans="1:16" ht="15">
      <c r="A782" s="3" t="str">
        <f>"132621"</f>
        <v>132621</v>
      </c>
      <c r="B782" s="3" t="s">
        <v>2918</v>
      </c>
      <c r="C782" s="61" t="s">
        <v>3276</v>
      </c>
      <c r="D782" s="3" t="s">
        <v>3249</v>
      </c>
      <c r="E782" s="3">
        <v>1</v>
      </c>
      <c r="F782" s="3" t="s">
        <v>3220</v>
      </c>
      <c r="G782" s="9">
        <v>12</v>
      </c>
      <c r="H782" s="66">
        <v>354</v>
      </c>
      <c r="I782" s="9">
        <v>42.233400000000003</v>
      </c>
      <c r="J782" s="10">
        <v>3.5194500000000004</v>
      </c>
      <c r="K782" s="66">
        <v>1596.7857562473382</v>
      </c>
      <c r="L782" s="69">
        <v>1950.7857562473382</v>
      </c>
      <c r="M782" s="64">
        <v>0</v>
      </c>
      <c r="N782" s="67">
        <v>0</v>
      </c>
      <c r="O782" s="64">
        <f t="shared" si="24"/>
        <v>1950.7857562473382</v>
      </c>
      <c r="P782" s="64">
        <f t="shared" si="25"/>
        <v>162.56547968727818</v>
      </c>
    </row>
    <row r="783" spans="1:16" ht="15">
      <c r="A783" s="3" t="s">
        <v>68</v>
      </c>
      <c r="B783" s="3" t="s">
        <v>69</v>
      </c>
      <c r="C783" s="61" t="s">
        <v>3276</v>
      </c>
      <c r="D783" s="3" t="s">
        <v>1684</v>
      </c>
      <c r="E783" s="3">
        <v>1</v>
      </c>
      <c r="F783" s="3" t="s">
        <v>3266</v>
      </c>
      <c r="G783" s="9">
        <v>497.63629800000001</v>
      </c>
      <c r="H783" s="66">
        <v>14680.270791000001</v>
      </c>
      <c r="I783" s="9">
        <v>648.262208149446</v>
      </c>
      <c r="J783" s="10">
        <v>1.302682723818201</v>
      </c>
      <c r="K783" s="66">
        <v>7955.3509644441801</v>
      </c>
      <c r="L783" s="69">
        <v>22635.621755444183</v>
      </c>
      <c r="M783" s="64">
        <v>0</v>
      </c>
      <c r="N783" s="67">
        <v>0</v>
      </c>
      <c r="O783" s="64">
        <f t="shared" si="24"/>
        <v>22635.621755444183</v>
      </c>
      <c r="P783" s="64">
        <f t="shared" si="25"/>
        <v>45.486275511687417</v>
      </c>
    </row>
    <row r="784" spans="1:16" ht="15">
      <c r="A784" s="3" t="str">
        <f>"054742"</f>
        <v>054742</v>
      </c>
      <c r="B784" s="3" t="s">
        <v>3009</v>
      </c>
      <c r="C784" s="61" t="s">
        <v>3276</v>
      </c>
      <c r="D784" s="3" t="s">
        <v>3249</v>
      </c>
      <c r="E784" s="3">
        <v>1</v>
      </c>
      <c r="F784" s="3" t="s">
        <v>3220</v>
      </c>
      <c r="G784" s="9">
        <v>412</v>
      </c>
      <c r="H784" s="66">
        <v>12154</v>
      </c>
      <c r="I784" s="9">
        <v>473.76679999999999</v>
      </c>
      <c r="J784" s="10">
        <v>1.1499194174757281</v>
      </c>
      <c r="K784" s="66">
        <v>3262.2313880998518</v>
      </c>
      <c r="L784" s="69">
        <v>15416.231388099852</v>
      </c>
      <c r="M784" s="64">
        <v>0</v>
      </c>
      <c r="N784" s="67">
        <v>0</v>
      </c>
      <c r="O784" s="64">
        <f t="shared" si="24"/>
        <v>15416.231388099852</v>
      </c>
      <c r="P784" s="64">
        <f t="shared" si="25"/>
        <v>37.418037349756922</v>
      </c>
    </row>
    <row r="785" spans="1:16" ht="15">
      <c r="A785" s="3" t="str">
        <f>"054510"</f>
        <v>054510</v>
      </c>
      <c r="B785" s="3" t="s">
        <v>2974</v>
      </c>
      <c r="C785" s="61" t="s">
        <v>3276</v>
      </c>
      <c r="D785" s="3" t="s">
        <v>3249</v>
      </c>
      <c r="E785" s="3">
        <v>1</v>
      </c>
      <c r="F785" s="3" t="s">
        <v>3220</v>
      </c>
      <c r="G785" s="9">
        <v>308</v>
      </c>
      <c r="H785" s="66">
        <v>9086</v>
      </c>
      <c r="I785" s="9">
        <v>339.6506</v>
      </c>
      <c r="J785" s="10">
        <v>1.1027616883116882</v>
      </c>
      <c r="K785" s="66">
        <v>1671.6355837147653</v>
      </c>
      <c r="L785" s="69">
        <v>10757.635583714766</v>
      </c>
      <c r="M785" s="64">
        <v>0</v>
      </c>
      <c r="N785" s="67">
        <v>0</v>
      </c>
      <c r="O785" s="64">
        <f t="shared" si="24"/>
        <v>10757.635583714766</v>
      </c>
      <c r="P785" s="64">
        <f t="shared" si="25"/>
        <v>34.927388258814176</v>
      </c>
    </row>
    <row r="786" spans="1:16" ht="15">
      <c r="A786" s="3" t="str">
        <f>"054577"</f>
        <v>054577</v>
      </c>
      <c r="B786" s="3" t="s">
        <v>2919</v>
      </c>
      <c r="C786" s="61" t="s">
        <v>3276</v>
      </c>
      <c r="D786" s="3" t="s">
        <v>3249</v>
      </c>
      <c r="E786" s="3">
        <v>1</v>
      </c>
      <c r="F786" s="3" t="s">
        <v>3220</v>
      </c>
      <c r="G786" s="9">
        <v>403</v>
      </c>
      <c r="H786" s="66">
        <v>11888.5</v>
      </c>
      <c r="I786" s="9">
        <v>434.70819999999998</v>
      </c>
      <c r="J786" s="10">
        <v>1.0786803970223324</v>
      </c>
      <c r="K786" s="66">
        <v>1674.6777443569629</v>
      </c>
      <c r="L786" s="69">
        <v>13563.177744356963</v>
      </c>
      <c r="M786" s="64">
        <v>0</v>
      </c>
      <c r="N786" s="67">
        <v>0</v>
      </c>
      <c r="O786" s="64">
        <f t="shared" si="24"/>
        <v>13563.177744356963</v>
      </c>
      <c r="P786" s="64">
        <f t="shared" si="25"/>
        <v>33.65552790163018</v>
      </c>
    </row>
    <row r="787" spans="1:16" ht="15">
      <c r="A787" s="3" t="str">
        <f>"054585"</f>
        <v>054585</v>
      </c>
      <c r="B787" s="3" t="s">
        <v>2894</v>
      </c>
      <c r="C787" s="61" t="s">
        <v>3276</v>
      </c>
      <c r="D787" s="3" t="s">
        <v>3249</v>
      </c>
      <c r="E787" s="3">
        <v>1</v>
      </c>
      <c r="F787" s="3" t="s">
        <v>3220</v>
      </c>
      <c r="G787" s="9">
        <v>731</v>
      </c>
      <c r="H787" s="66">
        <v>21564.5</v>
      </c>
      <c r="I787" s="9">
        <v>755.33420000000001</v>
      </c>
      <c r="J787" s="10">
        <v>1.0332889192886456</v>
      </c>
      <c r="K787" s="66">
        <v>1285.2178038088337</v>
      </c>
      <c r="L787" s="69">
        <v>22849.717803808835</v>
      </c>
      <c r="M787" s="64">
        <v>0</v>
      </c>
      <c r="N787" s="67">
        <v>0</v>
      </c>
      <c r="O787" s="64">
        <f t="shared" si="24"/>
        <v>22849.717803808835</v>
      </c>
      <c r="P787" s="64">
        <f t="shared" si="25"/>
        <v>31.258163890299365</v>
      </c>
    </row>
    <row r="788" spans="1:16" ht="15">
      <c r="A788" s="3" t="s">
        <v>365</v>
      </c>
      <c r="B788" s="3" t="s">
        <v>366</v>
      </c>
      <c r="C788" s="61" t="s">
        <v>3276</v>
      </c>
      <c r="D788" s="3" t="s">
        <v>1684</v>
      </c>
      <c r="E788" s="3">
        <v>1</v>
      </c>
      <c r="F788" s="3" t="s">
        <v>3266</v>
      </c>
      <c r="G788" s="9">
        <v>473.48402199999998</v>
      </c>
      <c r="H788" s="66">
        <v>13967.778649</v>
      </c>
      <c r="I788" s="9">
        <v>609.208450614806</v>
      </c>
      <c r="J788" s="10">
        <v>1.2866504935932264</v>
      </c>
      <c r="K788" s="66">
        <v>7168.3249117509404</v>
      </c>
      <c r="L788" s="69">
        <v>21136.10356075094</v>
      </c>
      <c r="M788" s="64">
        <v>0</v>
      </c>
      <c r="N788" s="67">
        <v>0</v>
      </c>
      <c r="O788" s="64">
        <f t="shared" si="24"/>
        <v>21136.10356075094</v>
      </c>
      <c r="P788" s="64">
        <f t="shared" si="25"/>
        <v>44.639528640210251</v>
      </c>
    </row>
    <row r="789" spans="1:16" ht="15">
      <c r="A789" s="3" t="s">
        <v>761</v>
      </c>
      <c r="B789" s="3" t="s">
        <v>762</v>
      </c>
      <c r="C789" s="61" t="s">
        <v>3276</v>
      </c>
      <c r="D789" s="3" t="s">
        <v>3248</v>
      </c>
      <c r="E789" s="3">
        <v>1</v>
      </c>
      <c r="F789" s="3" t="s">
        <v>1906</v>
      </c>
      <c r="G789" s="9">
        <v>5735.5462870000001</v>
      </c>
      <c r="H789" s="66">
        <v>169198.61546649999</v>
      </c>
      <c r="I789" s="9">
        <v>7637.2842963512603</v>
      </c>
      <c r="J789" s="10">
        <v>1.3315705103211661</v>
      </c>
      <c r="K789" s="66">
        <v>100440.84242745636</v>
      </c>
      <c r="L789" s="69">
        <v>269639.45789395634</v>
      </c>
      <c r="M789" s="64">
        <v>3919256.9490317153</v>
      </c>
      <c r="N789" s="67">
        <v>78558.768655250708</v>
      </c>
      <c r="O789" s="64">
        <f t="shared" si="24"/>
        <v>348198.22654920706</v>
      </c>
      <c r="P789" s="64">
        <f t="shared" si="25"/>
        <v>60.70881641011627</v>
      </c>
    </row>
    <row r="790" spans="1:16" ht="15">
      <c r="A790" s="3" t="str">
        <f>"053454"</f>
        <v>053454</v>
      </c>
      <c r="B790" s="3" t="s">
        <v>2987</v>
      </c>
      <c r="C790" s="61" t="s">
        <v>3276</v>
      </c>
      <c r="D790" s="3" t="s">
        <v>3249</v>
      </c>
      <c r="E790" s="3">
        <v>1</v>
      </c>
      <c r="F790" s="3" t="s">
        <v>3220</v>
      </c>
      <c r="G790" s="9">
        <v>343</v>
      </c>
      <c r="H790" s="66">
        <v>10118.5</v>
      </c>
      <c r="I790" s="9">
        <v>411.82479999999998</v>
      </c>
      <c r="J790" s="10">
        <v>1.2006553935860058</v>
      </c>
      <c r="K790" s="66">
        <v>3635.0016973470324</v>
      </c>
      <c r="L790" s="69">
        <v>13753.501697347032</v>
      </c>
      <c r="M790" s="64">
        <v>0</v>
      </c>
      <c r="N790" s="67">
        <v>0</v>
      </c>
      <c r="O790" s="64">
        <f t="shared" si="24"/>
        <v>13753.501697347032</v>
      </c>
      <c r="P790" s="64">
        <f t="shared" si="25"/>
        <v>40.097672587017584</v>
      </c>
    </row>
    <row r="791" spans="1:16" ht="15">
      <c r="A791" s="3" t="str">
        <f>"019207"</f>
        <v>019207</v>
      </c>
      <c r="B791" s="3" t="s">
        <v>2600</v>
      </c>
      <c r="C791" s="61" t="s">
        <v>3276</v>
      </c>
      <c r="D791" s="3" t="s">
        <v>3249</v>
      </c>
      <c r="E791" s="3">
        <v>1</v>
      </c>
      <c r="F791" s="3" t="s">
        <v>3220</v>
      </c>
      <c r="G791" s="9">
        <v>6</v>
      </c>
      <c r="H791" s="66">
        <v>177</v>
      </c>
      <c r="I791" s="9">
        <v>6</v>
      </c>
      <c r="J791" s="10">
        <v>1</v>
      </c>
      <c r="K791" s="66">
        <v>0</v>
      </c>
      <c r="L791" s="69">
        <v>177</v>
      </c>
      <c r="M791" s="64">
        <v>0</v>
      </c>
      <c r="N791" s="67">
        <v>0</v>
      </c>
      <c r="O791" s="64">
        <f t="shared" si="24"/>
        <v>177</v>
      </c>
      <c r="P791" s="64">
        <f t="shared" si="25"/>
        <v>29.5</v>
      </c>
    </row>
    <row r="792" spans="1:16" ht="15">
      <c r="A792" s="3" t="s">
        <v>765</v>
      </c>
      <c r="B792" s="3" t="s">
        <v>766</v>
      </c>
      <c r="C792" s="61" t="s">
        <v>3276</v>
      </c>
      <c r="D792" s="3" t="s">
        <v>3248</v>
      </c>
      <c r="E792" s="3">
        <v>1</v>
      </c>
      <c r="F792" s="3" t="s">
        <v>1909</v>
      </c>
      <c r="G792" s="9">
        <v>1522.913225</v>
      </c>
      <c r="H792" s="66">
        <v>44925.940137500002</v>
      </c>
      <c r="I792" s="9">
        <v>1890.74929498201</v>
      </c>
      <c r="J792" s="10">
        <v>1.2415344905695529</v>
      </c>
      <c r="K792" s="66">
        <v>19427.368313893661</v>
      </c>
      <c r="L792" s="69">
        <v>64353.308451393663</v>
      </c>
      <c r="M792" s="64">
        <v>72696.151946136</v>
      </c>
      <c r="N792" s="67">
        <v>1457.1436007211473</v>
      </c>
      <c r="O792" s="64">
        <f t="shared" si="24"/>
        <v>65810.452052114808</v>
      </c>
      <c r="P792" s="64">
        <f t="shared" si="25"/>
        <v>43.21352718708895</v>
      </c>
    </row>
    <row r="793" spans="1:16" ht="15">
      <c r="A793" s="52" t="s">
        <v>3242</v>
      </c>
      <c r="B793" s="52" t="s">
        <v>3243</v>
      </c>
      <c r="C793" s="61" t="s">
        <v>3276</v>
      </c>
      <c r="D793" s="3" t="s">
        <v>1684</v>
      </c>
      <c r="E793" s="3">
        <v>1</v>
      </c>
      <c r="F793" s="3" t="s">
        <v>3266</v>
      </c>
      <c r="G793" s="9">
        <v>146.51</v>
      </c>
      <c r="H793" s="66">
        <v>4322.0450000000001</v>
      </c>
      <c r="I793" s="9">
        <v>166.45239799999999</v>
      </c>
      <c r="J793" s="10">
        <v>1.1361162924032489</v>
      </c>
      <c r="K793" s="66">
        <v>1053.2635122683985</v>
      </c>
      <c r="L793" s="69">
        <v>5375.3085122683988</v>
      </c>
      <c r="M793" s="64">
        <v>0</v>
      </c>
      <c r="N793" s="67">
        <v>0</v>
      </c>
      <c r="O793" s="64">
        <f t="shared" si="24"/>
        <v>5375.3085122683988</v>
      </c>
      <c r="P793" s="64">
        <f t="shared" si="25"/>
        <v>36.689021310957607</v>
      </c>
    </row>
    <row r="794" spans="1:16" ht="15">
      <c r="A794" s="3" t="str">
        <f>"054635"</f>
        <v>054635</v>
      </c>
      <c r="B794" s="3" t="s">
        <v>3011</v>
      </c>
      <c r="C794" s="61" t="s">
        <v>3276</v>
      </c>
      <c r="D794" s="3" t="s">
        <v>3249</v>
      </c>
      <c r="E794" s="3">
        <v>1</v>
      </c>
      <c r="F794" s="3" t="s">
        <v>3220</v>
      </c>
      <c r="G794" s="9">
        <v>182</v>
      </c>
      <c r="H794" s="66">
        <v>5369</v>
      </c>
      <c r="I794" s="9">
        <v>226.77479999999997</v>
      </c>
      <c r="J794" s="10">
        <v>1.2460153846153845</v>
      </c>
      <c r="K794" s="66">
        <v>2364.7939986512683</v>
      </c>
      <c r="L794" s="69">
        <v>7733.7939986512683</v>
      </c>
      <c r="M794" s="64">
        <v>0</v>
      </c>
      <c r="N794" s="67">
        <v>0</v>
      </c>
      <c r="O794" s="64">
        <f t="shared" si="24"/>
        <v>7733.7939986512683</v>
      </c>
      <c r="P794" s="64">
        <f t="shared" si="25"/>
        <v>42.493373618963012</v>
      </c>
    </row>
    <row r="795" spans="1:16" ht="15">
      <c r="A795" s="3" t="s">
        <v>381</v>
      </c>
      <c r="B795" s="3" t="s">
        <v>382</v>
      </c>
      <c r="C795" s="61" t="s">
        <v>3276</v>
      </c>
      <c r="D795" s="3" t="s">
        <v>1684</v>
      </c>
      <c r="E795" s="3">
        <v>1</v>
      </c>
      <c r="F795" s="3" t="s">
        <v>3266</v>
      </c>
      <c r="G795" s="9">
        <v>208.77525399999999</v>
      </c>
      <c r="H795" s="66">
        <v>6158.8699929999993</v>
      </c>
      <c r="I795" s="9">
        <v>300.12843679535598</v>
      </c>
      <c r="J795" s="10">
        <v>1.4375671016803362</v>
      </c>
      <c r="K795" s="66">
        <v>4824.8447437431396</v>
      </c>
      <c r="L795" s="69">
        <v>10983.714736743139</v>
      </c>
      <c r="M795" s="64">
        <v>0</v>
      </c>
      <c r="N795" s="67">
        <v>0</v>
      </c>
      <c r="O795" s="64">
        <f t="shared" si="24"/>
        <v>10983.714736743139</v>
      </c>
      <c r="P795" s="64">
        <f t="shared" si="25"/>
        <v>52.610232900222648</v>
      </c>
    </row>
    <row r="796" spans="1:16" ht="15">
      <c r="A796" s="3" t="str">
        <f>"062604"</f>
        <v>062604</v>
      </c>
      <c r="B796" s="3" t="s">
        <v>3002</v>
      </c>
      <c r="C796" s="61" t="s">
        <v>3276</v>
      </c>
      <c r="D796" s="3" t="s">
        <v>3249</v>
      </c>
      <c r="E796" s="3">
        <v>1</v>
      </c>
      <c r="F796" s="3" t="s">
        <v>3220</v>
      </c>
      <c r="G796" s="9">
        <v>120</v>
      </c>
      <c r="H796" s="66">
        <v>3540</v>
      </c>
      <c r="I796" s="9">
        <v>127.25879999999999</v>
      </c>
      <c r="J796" s="10">
        <v>1.0604899999999999</v>
      </c>
      <c r="K796" s="66">
        <v>383.37561926373371</v>
      </c>
      <c r="L796" s="69">
        <v>3923.3756192637338</v>
      </c>
      <c r="M796" s="64">
        <v>0</v>
      </c>
      <c r="N796" s="67">
        <v>0</v>
      </c>
      <c r="O796" s="64">
        <f t="shared" si="24"/>
        <v>3923.3756192637338</v>
      </c>
      <c r="P796" s="64">
        <f t="shared" si="25"/>
        <v>32.694796827197784</v>
      </c>
    </row>
    <row r="797" spans="1:16" ht="15">
      <c r="A797" s="3" t="str">
        <f>"053488"</f>
        <v>053488</v>
      </c>
      <c r="B797" s="3" t="s">
        <v>2925</v>
      </c>
      <c r="C797" s="61" t="s">
        <v>3276</v>
      </c>
      <c r="D797" s="3" t="s">
        <v>3249</v>
      </c>
      <c r="E797" s="3">
        <v>1</v>
      </c>
      <c r="F797" s="3" t="s">
        <v>3220</v>
      </c>
      <c r="G797" s="9">
        <v>496</v>
      </c>
      <c r="H797" s="66">
        <v>14632</v>
      </c>
      <c r="I797" s="9">
        <v>547.2944</v>
      </c>
      <c r="J797" s="10">
        <v>1.1034161290322582</v>
      </c>
      <c r="K797" s="66">
        <v>2709.128556340122</v>
      </c>
      <c r="L797" s="69">
        <v>17341.128556340122</v>
      </c>
      <c r="M797" s="64">
        <v>0</v>
      </c>
      <c r="N797" s="67">
        <v>0</v>
      </c>
      <c r="O797" s="64">
        <f t="shared" si="24"/>
        <v>17341.128556340122</v>
      </c>
      <c r="P797" s="64">
        <f t="shared" si="25"/>
        <v>34.961952734556696</v>
      </c>
    </row>
    <row r="798" spans="1:16" ht="15">
      <c r="A798" s="3" t="str">
        <f>"134817"</f>
        <v>134817</v>
      </c>
      <c r="B798" s="3" t="s">
        <v>3036</v>
      </c>
      <c r="C798" s="61" t="s">
        <v>3276</v>
      </c>
      <c r="D798" s="3" t="s">
        <v>3249</v>
      </c>
      <c r="E798" s="3">
        <v>1</v>
      </c>
      <c r="F798" s="3" t="s">
        <v>3220</v>
      </c>
      <c r="G798" s="9">
        <v>39</v>
      </c>
      <c r="H798" s="66">
        <v>1150.5</v>
      </c>
      <c r="I798" s="9">
        <v>39</v>
      </c>
      <c r="J798" s="10">
        <v>1</v>
      </c>
      <c r="K798" s="66">
        <v>0</v>
      </c>
      <c r="L798" s="69">
        <v>1150.5</v>
      </c>
      <c r="M798" s="64">
        <v>0</v>
      </c>
      <c r="N798" s="67">
        <v>0</v>
      </c>
      <c r="O798" s="64">
        <f t="shared" si="24"/>
        <v>1150.5</v>
      </c>
      <c r="P798" s="64">
        <f t="shared" si="25"/>
        <v>29.5</v>
      </c>
    </row>
    <row r="799" spans="1:16" ht="15">
      <c r="A799" s="3" t="str">
        <f>"053884"</f>
        <v>053884</v>
      </c>
      <c r="B799" s="3" t="s">
        <v>2967</v>
      </c>
      <c r="C799" s="61" t="s">
        <v>3276</v>
      </c>
      <c r="D799" s="3" t="s">
        <v>3249</v>
      </c>
      <c r="E799" s="3">
        <v>1</v>
      </c>
      <c r="F799" s="3" t="s">
        <v>3220</v>
      </c>
      <c r="G799" s="9">
        <v>576</v>
      </c>
      <c r="H799" s="66">
        <v>16992</v>
      </c>
      <c r="I799" s="9">
        <v>612.63040000000001</v>
      </c>
      <c r="J799" s="10">
        <v>1.0635944444444445</v>
      </c>
      <c r="K799" s="66">
        <v>1934.6451595137332</v>
      </c>
      <c r="L799" s="69">
        <v>18926.645159513733</v>
      </c>
      <c r="M799" s="64">
        <v>0</v>
      </c>
      <c r="N799" s="67">
        <v>0</v>
      </c>
      <c r="O799" s="64">
        <f t="shared" si="24"/>
        <v>18926.645159513733</v>
      </c>
      <c r="P799" s="64">
        <f t="shared" si="25"/>
        <v>32.858758957489123</v>
      </c>
    </row>
    <row r="800" spans="1:16" ht="15">
      <c r="A800" s="3" t="str">
        <f>"052902"</f>
        <v>052902</v>
      </c>
      <c r="B800" s="3" t="s">
        <v>3148</v>
      </c>
      <c r="C800" s="61" t="s">
        <v>3276</v>
      </c>
      <c r="D800" s="3" t="s">
        <v>3249</v>
      </c>
      <c r="E800" s="3">
        <v>1</v>
      </c>
      <c r="F800" s="3" t="s">
        <v>3220</v>
      </c>
      <c r="G800" s="9">
        <v>844</v>
      </c>
      <c r="H800" s="66">
        <v>24898</v>
      </c>
      <c r="I800" s="9">
        <v>844</v>
      </c>
      <c r="J800" s="10">
        <v>1</v>
      </c>
      <c r="K800" s="66">
        <v>0</v>
      </c>
      <c r="L800" s="69">
        <v>24898</v>
      </c>
      <c r="M800" s="64">
        <v>0</v>
      </c>
      <c r="N800" s="67">
        <v>0</v>
      </c>
      <c r="O800" s="64">
        <f t="shared" si="24"/>
        <v>24898</v>
      </c>
      <c r="P800" s="64">
        <f t="shared" si="25"/>
        <v>29.5</v>
      </c>
    </row>
    <row r="801" spans="1:16" ht="15">
      <c r="A801" s="3" t="str">
        <f>"017546"</f>
        <v>017546</v>
      </c>
      <c r="B801" s="3" t="s">
        <v>2930</v>
      </c>
      <c r="C801" s="61" t="s">
        <v>3276</v>
      </c>
      <c r="D801" s="3" t="s">
        <v>3249</v>
      </c>
      <c r="E801" s="3">
        <v>1</v>
      </c>
      <c r="F801" s="3" t="s">
        <v>3220</v>
      </c>
      <c r="G801" s="9">
        <v>65</v>
      </c>
      <c r="H801" s="66">
        <v>1917.5</v>
      </c>
      <c r="I801" s="9">
        <v>112.93100000000001</v>
      </c>
      <c r="J801" s="10">
        <v>1.7374000000000003</v>
      </c>
      <c r="K801" s="66">
        <v>2531.4896135628537</v>
      </c>
      <c r="L801" s="69">
        <v>4448.9896135628533</v>
      </c>
      <c r="M801" s="64">
        <v>0</v>
      </c>
      <c r="N801" s="67">
        <v>0</v>
      </c>
      <c r="O801" s="64">
        <f t="shared" si="24"/>
        <v>4448.9896135628533</v>
      </c>
      <c r="P801" s="64">
        <f t="shared" si="25"/>
        <v>68.445994054813127</v>
      </c>
    </row>
    <row r="802" spans="1:16" ht="15">
      <c r="A802" s="3" t="s">
        <v>1187</v>
      </c>
      <c r="B802" s="3" t="s">
        <v>1188</v>
      </c>
      <c r="C802" s="61" t="s">
        <v>3276</v>
      </c>
      <c r="D802" s="3" t="s">
        <v>3248</v>
      </c>
      <c r="E802" s="3">
        <v>1</v>
      </c>
      <c r="F802" s="3" t="s">
        <v>1904</v>
      </c>
      <c r="G802" s="9">
        <v>3619.468347</v>
      </c>
      <c r="H802" s="66">
        <v>106774.3162365</v>
      </c>
      <c r="I802" s="9">
        <v>4333.4327775127103</v>
      </c>
      <c r="J802" s="10">
        <v>1.1972567134354084</v>
      </c>
      <c r="K802" s="66">
        <v>37708.237681171755</v>
      </c>
      <c r="L802" s="69">
        <v>144482.55391767176</v>
      </c>
      <c r="M802" s="64">
        <v>1972953.2542335049</v>
      </c>
      <c r="N802" s="67">
        <v>39546.470232130654</v>
      </c>
      <c r="O802" s="64">
        <f t="shared" si="24"/>
        <v>184029.0241498024</v>
      </c>
      <c r="P802" s="64">
        <f t="shared" si="25"/>
        <v>50.844214262112565</v>
      </c>
    </row>
    <row r="803" spans="1:16" ht="15">
      <c r="A803" s="3" t="s">
        <v>1758</v>
      </c>
      <c r="B803" s="3" t="s">
        <v>1759</v>
      </c>
      <c r="C803" s="61" t="s">
        <v>3276</v>
      </c>
      <c r="D803" s="3" t="s">
        <v>1684</v>
      </c>
      <c r="E803" s="3">
        <v>1</v>
      </c>
      <c r="F803" s="3" t="s">
        <v>3266</v>
      </c>
      <c r="G803" s="9">
        <v>173.39536899999999</v>
      </c>
      <c r="H803" s="66">
        <v>5115.1633855</v>
      </c>
      <c r="I803" s="9">
        <v>238.69618392275899</v>
      </c>
      <c r="J803" s="10">
        <v>1.3766006860469209</v>
      </c>
      <c r="K803" s="66">
        <v>3448.881407317906</v>
      </c>
      <c r="L803" s="69">
        <v>8564.0447928179055</v>
      </c>
      <c r="M803" s="64">
        <v>0</v>
      </c>
      <c r="N803" s="67">
        <v>0</v>
      </c>
      <c r="O803" s="64">
        <f t="shared" si="24"/>
        <v>8564.0447928179055</v>
      </c>
      <c r="P803" s="64">
        <f t="shared" si="25"/>
        <v>49.390274043696671</v>
      </c>
    </row>
    <row r="804" spans="1:16" ht="15">
      <c r="A804" s="3" t="str">
        <f>"067603"</f>
        <v>067603</v>
      </c>
      <c r="B804" s="3" t="s">
        <v>3122</v>
      </c>
      <c r="C804" s="61" t="s">
        <v>3276</v>
      </c>
      <c r="D804" s="3" t="s">
        <v>3249</v>
      </c>
      <c r="E804" s="3">
        <v>1</v>
      </c>
      <c r="F804" s="3" t="s">
        <v>3220</v>
      </c>
      <c r="G804" s="9">
        <v>164</v>
      </c>
      <c r="H804" s="66">
        <v>4838</v>
      </c>
      <c r="I804" s="9">
        <v>164</v>
      </c>
      <c r="J804" s="10">
        <v>1</v>
      </c>
      <c r="K804" s="66">
        <v>0</v>
      </c>
      <c r="L804" s="69">
        <v>4838</v>
      </c>
      <c r="M804" s="64">
        <v>0</v>
      </c>
      <c r="N804" s="67">
        <v>0</v>
      </c>
      <c r="O804" s="64">
        <f t="shared" si="24"/>
        <v>4838</v>
      </c>
      <c r="P804" s="64">
        <f t="shared" si="25"/>
        <v>29.5</v>
      </c>
    </row>
    <row r="805" spans="1:16" ht="15">
      <c r="A805" s="3" t="str">
        <f>"132571"</f>
        <v>132571</v>
      </c>
      <c r="B805" s="3" t="s">
        <v>3049</v>
      </c>
      <c r="C805" s="61" t="s">
        <v>3276</v>
      </c>
      <c r="D805" s="3" t="s">
        <v>3249</v>
      </c>
      <c r="E805" s="3">
        <v>1</v>
      </c>
      <c r="F805" s="3" t="s">
        <v>3220</v>
      </c>
      <c r="G805" s="9">
        <v>2</v>
      </c>
      <c r="H805" s="66">
        <v>59</v>
      </c>
      <c r="I805" s="9">
        <v>2</v>
      </c>
      <c r="J805" s="10">
        <v>1</v>
      </c>
      <c r="K805" s="66">
        <v>0</v>
      </c>
      <c r="L805" s="69">
        <v>59</v>
      </c>
      <c r="M805" s="64">
        <v>0</v>
      </c>
      <c r="N805" s="67">
        <v>0</v>
      </c>
      <c r="O805" s="64">
        <f t="shared" si="24"/>
        <v>59</v>
      </c>
      <c r="P805" s="64">
        <f t="shared" si="25"/>
        <v>29.5</v>
      </c>
    </row>
    <row r="806" spans="1:16" ht="15">
      <c r="A806" s="3" t="str">
        <f>"054726"</f>
        <v>054726</v>
      </c>
      <c r="B806" s="3" t="s">
        <v>2946</v>
      </c>
      <c r="C806" s="61" t="s">
        <v>3276</v>
      </c>
      <c r="D806" s="3" t="s">
        <v>3249</v>
      </c>
      <c r="E806" s="3">
        <v>1</v>
      </c>
      <c r="F806" s="3" t="s">
        <v>3220</v>
      </c>
      <c r="G806" s="9">
        <v>116</v>
      </c>
      <c r="H806" s="66">
        <v>3422</v>
      </c>
      <c r="I806" s="9">
        <v>219.83760000000001</v>
      </c>
      <c r="J806" s="10">
        <v>1.8951517241379312</v>
      </c>
      <c r="K806" s="66">
        <v>5484.2128454923559</v>
      </c>
      <c r="L806" s="69">
        <v>8906.212845492355</v>
      </c>
      <c r="M806" s="64">
        <v>0</v>
      </c>
      <c r="N806" s="67">
        <v>0</v>
      </c>
      <c r="O806" s="64">
        <f t="shared" si="24"/>
        <v>8906.212845492355</v>
      </c>
      <c r="P806" s="64">
        <f t="shared" si="25"/>
        <v>76.777696943899613</v>
      </c>
    </row>
    <row r="807" spans="1:16" ht="15">
      <c r="A807" s="3" t="str">
        <f>"054718"</f>
        <v>054718</v>
      </c>
      <c r="B807" s="3" t="s">
        <v>2810</v>
      </c>
      <c r="C807" s="61" t="s">
        <v>3276</v>
      </c>
      <c r="D807" s="3" t="s">
        <v>3249</v>
      </c>
      <c r="E807" s="3">
        <v>1</v>
      </c>
      <c r="F807" s="3" t="s">
        <v>3220</v>
      </c>
      <c r="G807" s="9">
        <v>154</v>
      </c>
      <c r="H807" s="66">
        <v>4543</v>
      </c>
      <c r="I807" s="9">
        <v>169.661</v>
      </c>
      <c r="J807" s="10">
        <v>1.1016948051948052</v>
      </c>
      <c r="K807" s="66">
        <v>827.14023988666725</v>
      </c>
      <c r="L807" s="69">
        <v>5370.1402398866676</v>
      </c>
      <c r="M807" s="64">
        <v>0</v>
      </c>
      <c r="N807" s="67">
        <v>0</v>
      </c>
      <c r="O807" s="64">
        <f t="shared" si="24"/>
        <v>5370.1402398866676</v>
      </c>
      <c r="P807" s="64">
        <f t="shared" si="25"/>
        <v>34.871040518744593</v>
      </c>
    </row>
    <row r="808" spans="1:16" ht="15">
      <c r="A808" s="3" t="str">
        <f>"054783"</f>
        <v>054783</v>
      </c>
      <c r="B808" s="3" t="s">
        <v>2878</v>
      </c>
      <c r="C808" s="61" t="s">
        <v>3276</v>
      </c>
      <c r="D808" s="3" t="s">
        <v>3249</v>
      </c>
      <c r="E808" s="3">
        <v>1</v>
      </c>
      <c r="F808" s="3" t="s">
        <v>3220</v>
      </c>
      <c r="G808" s="9">
        <v>368</v>
      </c>
      <c r="H808" s="66">
        <v>10856</v>
      </c>
      <c r="I808" s="9">
        <v>390.37239999999997</v>
      </c>
      <c r="J808" s="10">
        <v>1.0607945652173911</v>
      </c>
      <c r="K808" s="66">
        <v>1181.6047699917276</v>
      </c>
      <c r="L808" s="69">
        <v>12037.604769991727</v>
      </c>
      <c r="M808" s="64">
        <v>0</v>
      </c>
      <c r="N808" s="67">
        <v>0</v>
      </c>
      <c r="O808" s="64">
        <f t="shared" si="24"/>
        <v>12037.604769991727</v>
      </c>
      <c r="P808" s="64">
        <f t="shared" si="25"/>
        <v>32.710882527151433</v>
      </c>
    </row>
    <row r="809" spans="1:16" ht="15">
      <c r="A809" s="3" t="str">
        <f>"054833"</f>
        <v>054833</v>
      </c>
      <c r="B809" s="3" t="s">
        <v>2864</v>
      </c>
      <c r="C809" s="61" t="s">
        <v>3276</v>
      </c>
      <c r="D809" s="3" t="s">
        <v>3249</v>
      </c>
      <c r="E809" s="3">
        <v>1</v>
      </c>
      <c r="F809" s="3" t="s">
        <v>3220</v>
      </c>
      <c r="G809" s="9">
        <v>182</v>
      </c>
      <c r="H809" s="66">
        <v>5369</v>
      </c>
      <c r="I809" s="9">
        <v>202.66019999999997</v>
      </c>
      <c r="J809" s="10">
        <v>1.1135175824175823</v>
      </c>
      <c r="K809" s="66">
        <v>1091.1744322908178</v>
      </c>
      <c r="L809" s="69">
        <v>6460.174432290818</v>
      </c>
      <c r="M809" s="64">
        <v>0</v>
      </c>
      <c r="N809" s="67">
        <v>0</v>
      </c>
      <c r="O809" s="64">
        <f t="shared" si="24"/>
        <v>6460.174432290818</v>
      </c>
      <c r="P809" s="64">
        <f t="shared" si="25"/>
        <v>35.495463913685811</v>
      </c>
    </row>
    <row r="810" spans="1:16" ht="15">
      <c r="A810" s="3" t="s">
        <v>769</v>
      </c>
      <c r="B810" s="3" t="s">
        <v>770</v>
      </c>
      <c r="C810" s="61" t="s">
        <v>3276</v>
      </c>
      <c r="D810" s="3" t="s">
        <v>3248</v>
      </c>
      <c r="E810" s="3">
        <v>1</v>
      </c>
      <c r="F810" s="3" t="s">
        <v>1909</v>
      </c>
      <c r="G810" s="9">
        <v>904.26235399999996</v>
      </c>
      <c r="H810" s="66">
        <v>26675.739442999999</v>
      </c>
      <c r="I810" s="9">
        <v>1239.20215071405</v>
      </c>
      <c r="J810" s="10">
        <v>1.3704011288675744</v>
      </c>
      <c r="K810" s="66">
        <v>17689.942136622878</v>
      </c>
      <c r="L810" s="69">
        <v>44365.681579622877</v>
      </c>
      <c r="M810" s="64">
        <v>214784.13996657962</v>
      </c>
      <c r="N810" s="67">
        <v>4305.1980979762438</v>
      </c>
      <c r="O810" s="64">
        <f t="shared" si="24"/>
        <v>48670.879677599121</v>
      </c>
      <c r="P810" s="64">
        <f t="shared" si="25"/>
        <v>53.823848203238505</v>
      </c>
    </row>
    <row r="811" spans="1:16" ht="15">
      <c r="A811" s="3" t="str">
        <f>"054866"</f>
        <v>054866</v>
      </c>
      <c r="B811" s="3" t="s">
        <v>2724</v>
      </c>
      <c r="C811" s="61" t="s">
        <v>3276</v>
      </c>
      <c r="D811" s="3" t="s">
        <v>3249</v>
      </c>
      <c r="E811" s="3">
        <v>1</v>
      </c>
      <c r="F811" s="3" t="s">
        <v>3220</v>
      </c>
      <c r="G811" s="9">
        <v>189</v>
      </c>
      <c r="H811" s="66">
        <v>5575.5</v>
      </c>
      <c r="I811" s="9">
        <v>219.22340000000003</v>
      </c>
      <c r="J811" s="10">
        <v>1.1599121693121694</v>
      </c>
      <c r="K811" s="66">
        <v>1596.2576033580688</v>
      </c>
      <c r="L811" s="69">
        <v>7171.757603358069</v>
      </c>
      <c r="M811" s="64">
        <v>0</v>
      </c>
      <c r="N811" s="67">
        <v>0</v>
      </c>
      <c r="O811" s="64">
        <f t="shared" si="24"/>
        <v>7171.757603358069</v>
      </c>
      <c r="P811" s="64">
        <f t="shared" si="25"/>
        <v>37.945807425174969</v>
      </c>
    </row>
    <row r="812" spans="1:16" ht="15">
      <c r="A812" s="3" t="str">
        <f>"054890"</f>
        <v>054890</v>
      </c>
      <c r="B812" s="3" t="s">
        <v>2984</v>
      </c>
      <c r="C812" s="61" t="s">
        <v>3276</v>
      </c>
      <c r="D812" s="3" t="s">
        <v>3249</v>
      </c>
      <c r="E812" s="3">
        <v>1</v>
      </c>
      <c r="F812" s="3" t="s">
        <v>3220</v>
      </c>
      <c r="G812" s="9">
        <v>164</v>
      </c>
      <c r="H812" s="66">
        <v>4838</v>
      </c>
      <c r="I812" s="9">
        <v>183.59219999999999</v>
      </c>
      <c r="J812" s="10">
        <v>1.1194646341463415</v>
      </c>
      <c r="K812" s="66">
        <v>1034.76770371672</v>
      </c>
      <c r="L812" s="69">
        <v>5872.7677037167196</v>
      </c>
      <c r="M812" s="64">
        <v>0</v>
      </c>
      <c r="N812" s="67">
        <v>0</v>
      </c>
      <c r="O812" s="64">
        <f t="shared" si="24"/>
        <v>5872.7677037167196</v>
      </c>
      <c r="P812" s="64">
        <f t="shared" si="25"/>
        <v>35.809559169004388</v>
      </c>
    </row>
    <row r="813" spans="1:16" ht="15">
      <c r="A813" s="3" t="str">
        <f>"054908"</f>
        <v>054908</v>
      </c>
      <c r="B813" s="3" t="s">
        <v>2999</v>
      </c>
      <c r="C813" s="61" t="s">
        <v>3276</v>
      </c>
      <c r="D813" s="3" t="s">
        <v>3249</v>
      </c>
      <c r="E813" s="3">
        <v>1</v>
      </c>
      <c r="F813" s="3" t="s">
        <v>3220</v>
      </c>
      <c r="G813" s="9">
        <v>235</v>
      </c>
      <c r="H813" s="66">
        <v>6932.5</v>
      </c>
      <c r="I813" s="9">
        <v>289.15819999999997</v>
      </c>
      <c r="J813" s="10">
        <v>1.2304604255319147</v>
      </c>
      <c r="K813" s="66">
        <v>2860.3809807694311</v>
      </c>
      <c r="L813" s="69">
        <v>9792.8809807694306</v>
      </c>
      <c r="M813" s="64">
        <v>0</v>
      </c>
      <c r="N813" s="67">
        <v>0</v>
      </c>
      <c r="O813" s="64">
        <f t="shared" si="24"/>
        <v>9792.8809807694306</v>
      </c>
      <c r="P813" s="64">
        <f t="shared" si="25"/>
        <v>41.671833960720981</v>
      </c>
    </row>
    <row r="814" spans="1:16" ht="15">
      <c r="A814" s="3" t="str">
        <f>"054957"</f>
        <v>054957</v>
      </c>
      <c r="B814" s="3" t="s">
        <v>3029</v>
      </c>
      <c r="C814" s="61" t="s">
        <v>3276</v>
      </c>
      <c r="D814" s="3" t="s">
        <v>3249</v>
      </c>
      <c r="E814" s="3">
        <v>1</v>
      </c>
      <c r="F814" s="3" t="s">
        <v>3220</v>
      </c>
      <c r="G814" s="9">
        <v>323</v>
      </c>
      <c r="H814" s="66">
        <v>9528.5</v>
      </c>
      <c r="I814" s="9">
        <v>396.85340000000002</v>
      </c>
      <c r="J814" s="10">
        <v>1.2286482972136223</v>
      </c>
      <c r="K814" s="66">
        <v>3900.5886592456418</v>
      </c>
      <c r="L814" s="69">
        <v>13429.088659245641</v>
      </c>
      <c r="M814" s="64">
        <v>0</v>
      </c>
      <c r="N814" s="67">
        <v>0</v>
      </c>
      <c r="O814" s="64">
        <f t="shared" si="24"/>
        <v>13429.088659245641</v>
      </c>
      <c r="P814" s="64">
        <f t="shared" si="25"/>
        <v>41.576125880017464</v>
      </c>
    </row>
    <row r="815" spans="1:16" ht="15">
      <c r="A815" s="3" t="str">
        <f>"054973"</f>
        <v>054973</v>
      </c>
      <c r="B815" s="3" t="s">
        <v>2813</v>
      </c>
      <c r="C815" s="61" t="s">
        <v>3276</v>
      </c>
      <c r="D815" s="3" t="s">
        <v>3249</v>
      </c>
      <c r="E815" s="3">
        <v>1</v>
      </c>
      <c r="F815" s="3" t="s">
        <v>3220</v>
      </c>
      <c r="G815" s="9">
        <v>347</v>
      </c>
      <c r="H815" s="66">
        <v>10236.5</v>
      </c>
      <c r="I815" s="9">
        <v>364.93579999999997</v>
      </c>
      <c r="J815" s="10">
        <v>1.0516881844380404</v>
      </c>
      <c r="K815" s="66">
        <v>947.28445913793882</v>
      </c>
      <c r="L815" s="69">
        <v>11183.784459137938</v>
      </c>
      <c r="M815" s="64">
        <v>0</v>
      </c>
      <c r="N815" s="67">
        <v>0</v>
      </c>
      <c r="O815" s="64">
        <f t="shared" si="24"/>
        <v>11183.784459137938</v>
      </c>
      <c r="P815" s="64">
        <f t="shared" si="25"/>
        <v>32.2299263952102</v>
      </c>
    </row>
    <row r="816" spans="1:16" ht="15">
      <c r="A816" s="3" t="str">
        <f>"054999"</f>
        <v>054999</v>
      </c>
      <c r="B816" s="3" t="s">
        <v>2726</v>
      </c>
      <c r="C816" s="61" t="s">
        <v>3276</v>
      </c>
      <c r="D816" s="3" t="s">
        <v>3249</v>
      </c>
      <c r="E816" s="3">
        <v>1</v>
      </c>
      <c r="F816" s="3" t="s">
        <v>3220</v>
      </c>
      <c r="G816" s="9">
        <v>209</v>
      </c>
      <c r="H816" s="66">
        <v>6165.5</v>
      </c>
      <c r="I816" s="9">
        <v>248.00979999999998</v>
      </c>
      <c r="J816" s="10">
        <v>1.1866497607655502</v>
      </c>
      <c r="K816" s="66">
        <v>2060.3138579867755</v>
      </c>
      <c r="L816" s="69">
        <v>8225.8138579867755</v>
      </c>
      <c r="M816" s="64">
        <v>0</v>
      </c>
      <c r="N816" s="67">
        <v>0</v>
      </c>
      <c r="O816" s="64">
        <f t="shared" si="24"/>
        <v>8225.8138579867755</v>
      </c>
      <c r="P816" s="64">
        <f t="shared" si="25"/>
        <v>39.357961042998923</v>
      </c>
    </row>
    <row r="817" spans="1:16" ht="15">
      <c r="A817" s="3" t="str">
        <f>"055012"</f>
        <v>055012</v>
      </c>
      <c r="B817" s="3" t="s">
        <v>2855</v>
      </c>
      <c r="C817" s="61" t="s">
        <v>3276</v>
      </c>
      <c r="D817" s="3" t="s">
        <v>3249</v>
      </c>
      <c r="E817" s="3">
        <v>1</v>
      </c>
      <c r="F817" s="3" t="s">
        <v>3220</v>
      </c>
      <c r="G817" s="9">
        <v>162</v>
      </c>
      <c r="H817" s="66">
        <v>4779</v>
      </c>
      <c r="I817" s="9">
        <v>193.4228</v>
      </c>
      <c r="J817" s="10">
        <v>1.1939679012345679</v>
      </c>
      <c r="K817" s="66">
        <v>1659.6042608971813</v>
      </c>
      <c r="L817" s="69">
        <v>6438.6042608971811</v>
      </c>
      <c r="M817" s="64">
        <v>0</v>
      </c>
      <c r="N817" s="67">
        <v>0</v>
      </c>
      <c r="O817" s="64">
        <f t="shared" si="24"/>
        <v>6438.6042608971811</v>
      </c>
      <c r="P817" s="64">
        <f t="shared" si="25"/>
        <v>39.744470746278893</v>
      </c>
    </row>
    <row r="818" spans="1:16" ht="15">
      <c r="A818" s="3" t="str">
        <f>"055020"</f>
        <v>055020</v>
      </c>
      <c r="B818" s="3" t="s">
        <v>2701</v>
      </c>
      <c r="C818" s="61" t="s">
        <v>3276</v>
      </c>
      <c r="D818" s="3" t="s">
        <v>3249</v>
      </c>
      <c r="E818" s="3">
        <v>1</v>
      </c>
      <c r="F818" s="3" t="s">
        <v>3220</v>
      </c>
      <c r="G818" s="9">
        <v>293</v>
      </c>
      <c r="H818" s="66">
        <v>8643.5</v>
      </c>
      <c r="I818" s="9">
        <v>303.3236</v>
      </c>
      <c r="J818" s="10">
        <v>1.0352341296928327</v>
      </c>
      <c r="K818" s="66">
        <v>545.24391676738367</v>
      </c>
      <c r="L818" s="69">
        <v>9188.7439167673838</v>
      </c>
      <c r="M818" s="64">
        <v>0</v>
      </c>
      <c r="N818" s="67">
        <v>0</v>
      </c>
      <c r="O818" s="64">
        <f t="shared" si="24"/>
        <v>9188.7439167673838</v>
      </c>
      <c r="P818" s="64">
        <f t="shared" si="25"/>
        <v>31.360900739820423</v>
      </c>
    </row>
    <row r="819" spans="1:16" ht="15">
      <c r="A819" s="3" t="str">
        <f>"055046"</f>
        <v>055046</v>
      </c>
      <c r="B819" s="3" t="s">
        <v>2850</v>
      </c>
      <c r="C819" s="61" t="s">
        <v>3276</v>
      </c>
      <c r="D819" s="3" t="s">
        <v>3249</v>
      </c>
      <c r="E819" s="3">
        <v>1</v>
      </c>
      <c r="F819" s="3" t="s">
        <v>3220</v>
      </c>
      <c r="G819" s="9">
        <v>338</v>
      </c>
      <c r="H819" s="66">
        <v>9971</v>
      </c>
      <c r="I819" s="9">
        <v>355.048</v>
      </c>
      <c r="J819" s="10">
        <v>1.0504378698224852</v>
      </c>
      <c r="K819" s="66">
        <v>900.39504562849766</v>
      </c>
      <c r="L819" s="69">
        <v>10871.395045628498</v>
      </c>
      <c r="M819" s="64">
        <v>0</v>
      </c>
      <c r="N819" s="67">
        <v>0</v>
      </c>
      <c r="O819" s="64">
        <f t="shared" si="24"/>
        <v>10871.395045628498</v>
      </c>
      <c r="P819" s="64">
        <f t="shared" si="25"/>
        <v>32.163890667539938</v>
      </c>
    </row>
    <row r="820" spans="1:16" ht="15">
      <c r="A820" s="3" t="str">
        <f>"055087"</f>
        <v>055087</v>
      </c>
      <c r="B820" s="3" t="s">
        <v>2934</v>
      </c>
      <c r="C820" s="61" t="s">
        <v>3276</v>
      </c>
      <c r="D820" s="3" t="s">
        <v>3249</v>
      </c>
      <c r="E820" s="3">
        <v>1</v>
      </c>
      <c r="F820" s="3" t="s">
        <v>3220</v>
      </c>
      <c r="G820" s="9">
        <v>1018</v>
      </c>
      <c r="H820" s="66">
        <v>30031</v>
      </c>
      <c r="I820" s="9">
        <v>1074.6928</v>
      </c>
      <c r="J820" s="10">
        <v>1.0556903732809431</v>
      </c>
      <c r="K820" s="66">
        <v>2994.2466120839581</v>
      </c>
      <c r="L820" s="69">
        <v>33025.24661208396</v>
      </c>
      <c r="M820" s="64">
        <v>0</v>
      </c>
      <c r="N820" s="67">
        <v>0</v>
      </c>
      <c r="O820" s="64">
        <f t="shared" si="24"/>
        <v>33025.24661208396</v>
      </c>
      <c r="P820" s="64">
        <f t="shared" si="25"/>
        <v>32.441303155288765</v>
      </c>
    </row>
    <row r="821" spans="1:16" ht="15">
      <c r="A821" s="3" t="str">
        <f>"055103"</f>
        <v>055103</v>
      </c>
      <c r="B821" s="3" t="s">
        <v>2796</v>
      </c>
      <c r="C821" s="61" t="s">
        <v>3276</v>
      </c>
      <c r="D821" s="3" t="s">
        <v>3249</v>
      </c>
      <c r="E821" s="3">
        <v>1</v>
      </c>
      <c r="F821" s="3" t="s">
        <v>3220</v>
      </c>
      <c r="G821" s="9">
        <v>549</v>
      </c>
      <c r="H821" s="66">
        <v>16195.5</v>
      </c>
      <c r="I821" s="9">
        <v>566.08540000000005</v>
      </c>
      <c r="J821" s="10">
        <v>1.0311209471766849</v>
      </c>
      <c r="K821" s="66">
        <v>902.37033743437223</v>
      </c>
      <c r="L821" s="69">
        <v>17097.870337434371</v>
      </c>
      <c r="M821" s="64">
        <v>0</v>
      </c>
      <c r="N821" s="67">
        <v>0</v>
      </c>
      <c r="O821" s="64">
        <f t="shared" si="24"/>
        <v>17097.870337434371</v>
      </c>
      <c r="P821" s="64">
        <f t="shared" si="25"/>
        <v>31.143661816820348</v>
      </c>
    </row>
    <row r="822" spans="1:16" ht="15">
      <c r="A822" s="3" t="str">
        <f>"055137"</f>
        <v>055137</v>
      </c>
      <c r="B822" s="3" t="s">
        <v>2771</v>
      </c>
      <c r="C822" s="61" t="s">
        <v>3276</v>
      </c>
      <c r="D822" s="3" t="s">
        <v>3249</v>
      </c>
      <c r="E822" s="3">
        <v>1</v>
      </c>
      <c r="F822" s="3" t="s">
        <v>3220</v>
      </c>
      <c r="G822" s="9">
        <v>386</v>
      </c>
      <c r="H822" s="66">
        <v>11387</v>
      </c>
      <c r="I822" s="9">
        <v>400.34879999999998</v>
      </c>
      <c r="J822" s="10">
        <v>1.0371730569948185</v>
      </c>
      <c r="K822" s="66">
        <v>757.83601775657962</v>
      </c>
      <c r="L822" s="69">
        <v>12144.836017756579</v>
      </c>
      <c r="M822" s="64">
        <v>0</v>
      </c>
      <c r="N822" s="67">
        <v>0</v>
      </c>
      <c r="O822" s="64">
        <f t="shared" si="24"/>
        <v>12144.836017756579</v>
      </c>
      <c r="P822" s="64">
        <f t="shared" si="25"/>
        <v>31.463305745483364</v>
      </c>
    </row>
    <row r="823" spans="1:16" ht="15">
      <c r="A823" s="3" t="str">
        <f>"055145"</f>
        <v>055145</v>
      </c>
      <c r="B823" s="3" t="s">
        <v>2771</v>
      </c>
      <c r="C823" s="61" t="s">
        <v>3276</v>
      </c>
      <c r="D823" s="3" t="s">
        <v>3249</v>
      </c>
      <c r="E823" s="3">
        <v>1</v>
      </c>
      <c r="F823" s="3" t="s">
        <v>3220</v>
      </c>
      <c r="G823" s="9">
        <v>222</v>
      </c>
      <c r="H823" s="66">
        <v>6549</v>
      </c>
      <c r="I823" s="9">
        <v>242.13499999999999</v>
      </c>
      <c r="J823" s="10">
        <v>1.0906981981981982</v>
      </c>
      <c r="K823" s="66">
        <v>1063.4358425463274</v>
      </c>
      <c r="L823" s="69">
        <v>7612.435842546327</v>
      </c>
      <c r="M823" s="64">
        <v>0</v>
      </c>
      <c r="N823" s="67">
        <v>0</v>
      </c>
      <c r="O823" s="64">
        <f t="shared" si="24"/>
        <v>7612.435842546327</v>
      </c>
      <c r="P823" s="64">
        <f t="shared" si="25"/>
        <v>34.290251543001474</v>
      </c>
    </row>
    <row r="824" spans="1:16" ht="15">
      <c r="A824" s="3" t="str">
        <f>"055160"</f>
        <v>055160</v>
      </c>
      <c r="B824" s="3" t="s">
        <v>2625</v>
      </c>
      <c r="C824" s="61" t="s">
        <v>3276</v>
      </c>
      <c r="D824" s="3" t="s">
        <v>3249</v>
      </c>
      <c r="E824" s="3">
        <v>1</v>
      </c>
      <c r="F824" s="3" t="s">
        <v>3220</v>
      </c>
      <c r="G824" s="9">
        <v>229</v>
      </c>
      <c r="H824" s="66">
        <v>6755.5</v>
      </c>
      <c r="I824" s="9">
        <v>257.27379999999999</v>
      </c>
      <c r="J824" s="10">
        <v>1.1234663755458516</v>
      </c>
      <c r="K824" s="66">
        <v>1493.2889160658733</v>
      </c>
      <c r="L824" s="69">
        <v>8248.7889160658742</v>
      </c>
      <c r="M824" s="64">
        <v>0</v>
      </c>
      <c r="N824" s="67">
        <v>0</v>
      </c>
      <c r="O824" s="64">
        <f t="shared" si="24"/>
        <v>8248.7889160658742</v>
      </c>
      <c r="P824" s="64">
        <f t="shared" si="25"/>
        <v>36.020912297230893</v>
      </c>
    </row>
    <row r="825" spans="1:16" ht="15">
      <c r="A825" s="3" t="str">
        <f>"055202"</f>
        <v>055202</v>
      </c>
      <c r="B825" s="3" t="s">
        <v>2622</v>
      </c>
      <c r="C825" s="61" t="s">
        <v>3276</v>
      </c>
      <c r="D825" s="3" t="s">
        <v>3249</v>
      </c>
      <c r="E825" s="3">
        <v>1</v>
      </c>
      <c r="F825" s="3" t="s">
        <v>3220</v>
      </c>
      <c r="G825" s="9">
        <v>94</v>
      </c>
      <c r="H825" s="66">
        <v>2773</v>
      </c>
      <c r="I825" s="9">
        <v>103.2</v>
      </c>
      <c r="J825" s="10">
        <v>1.0978723404255319</v>
      </c>
      <c r="K825" s="66">
        <v>485.90065812894068</v>
      </c>
      <c r="L825" s="69">
        <v>3258.9006581289404</v>
      </c>
      <c r="M825" s="64">
        <v>0</v>
      </c>
      <c r="N825" s="67">
        <v>0</v>
      </c>
      <c r="O825" s="64">
        <f t="shared" si="24"/>
        <v>3258.9006581289404</v>
      </c>
      <c r="P825" s="64">
        <f t="shared" si="25"/>
        <v>34.669155937541923</v>
      </c>
    </row>
    <row r="826" spans="1:16" ht="15">
      <c r="A826" s="3" t="str">
        <f>"055210"</f>
        <v>055210</v>
      </c>
      <c r="B826" s="3" t="s">
        <v>2818</v>
      </c>
      <c r="C826" s="61" t="s">
        <v>3276</v>
      </c>
      <c r="D826" s="3" t="s">
        <v>3249</v>
      </c>
      <c r="E826" s="3">
        <v>1</v>
      </c>
      <c r="F826" s="3" t="s">
        <v>3220</v>
      </c>
      <c r="G826" s="9">
        <v>472</v>
      </c>
      <c r="H826" s="66">
        <v>13924</v>
      </c>
      <c r="I826" s="9">
        <v>483.79840000000002</v>
      </c>
      <c r="J826" s="10">
        <v>1.0249966101694916</v>
      </c>
      <c r="K826" s="66">
        <v>623.13590487701083</v>
      </c>
      <c r="L826" s="69">
        <v>14547.13590487701</v>
      </c>
      <c r="M826" s="64">
        <v>0</v>
      </c>
      <c r="N826" s="67">
        <v>0</v>
      </c>
      <c r="O826" s="64">
        <f t="shared" si="24"/>
        <v>14547.13590487701</v>
      </c>
      <c r="P826" s="64">
        <f t="shared" si="25"/>
        <v>30.820203188298748</v>
      </c>
    </row>
    <row r="827" spans="1:16" ht="15">
      <c r="A827" s="3" t="str">
        <f>"055228"</f>
        <v>055228</v>
      </c>
      <c r="B827" s="3" t="s">
        <v>2667</v>
      </c>
      <c r="C827" s="61" t="s">
        <v>3276</v>
      </c>
      <c r="D827" s="3" t="s">
        <v>3249</v>
      </c>
      <c r="E827" s="3">
        <v>1</v>
      </c>
      <c r="F827" s="3" t="s">
        <v>3220</v>
      </c>
      <c r="G827" s="9">
        <v>321</v>
      </c>
      <c r="H827" s="66">
        <v>9469.5</v>
      </c>
      <c r="I827" s="9">
        <v>408.8972</v>
      </c>
      <c r="J827" s="10">
        <v>1.2738230529595016</v>
      </c>
      <c r="K827" s="66">
        <v>4642.3160138794683</v>
      </c>
      <c r="L827" s="69">
        <v>14111.816013879468</v>
      </c>
      <c r="M827" s="64">
        <v>0</v>
      </c>
      <c r="N827" s="67">
        <v>0</v>
      </c>
      <c r="O827" s="64">
        <f t="shared" si="24"/>
        <v>14111.816013879468</v>
      </c>
      <c r="P827" s="64">
        <f t="shared" si="25"/>
        <v>43.962043656945383</v>
      </c>
    </row>
    <row r="828" spans="1:16" ht="15">
      <c r="A828" s="3" t="str">
        <f>"055293"</f>
        <v>055293</v>
      </c>
      <c r="B828" s="3" t="s">
        <v>2994</v>
      </c>
      <c r="C828" s="61" t="s">
        <v>3276</v>
      </c>
      <c r="D828" s="3" t="s">
        <v>3249</v>
      </c>
      <c r="E828" s="3">
        <v>1</v>
      </c>
      <c r="F828" s="3" t="s">
        <v>3220</v>
      </c>
      <c r="G828" s="9">
        <v>268</v>
      </c>
      <c r="H828" s="66">
        <v>7906</v>
      </c>
      <c r="I828" s="9">
        <v>300.6388</v>
      </c>
      <c r="J828" s="10">
        <v>1.1217865671641791</v>
      </c>
      <c r="K828" s="66">
        <v>1723.8276522324852</v>
      </c>
      <c r="L828" s="69">
        <v>9629.827652232485</v>
      </c>
      <c r="M828" s="64">
        <v>0</v>
      </c>
      <c r="N828" s="67">
        <v>0</v>
      </c>
      <c r="O828" s="64">
        <f t="shared" si="24"/>
        <v>9629.827652232485</v>
      </c>
      <c r="P828" s="64">
        <f t="shared" si="25"/>
        <v>35.932192732210765</v>
      </c>
    </row>
    <row r="829" spans="1:16" ht="15">
      <c r="A829" s="3" t="str">
        <f>"055319"</f>
        <v>055319</v>
      </c>
      <c r="B829" s="3" t="s">
        <v>2689</v>
      </c>
      <c r="C829" s="61" t="s">
        <v>3276</v>
      </c>
      <c r="D829" s="3" t="s">
        <v>3249</v>
      </c>
      <c r="E829" s="3">
        <v>1</v>
      </c>
      <c r="F829" s="3" t="s">
        <v>3220</v>
      </c>
      <c r="G829" s="9">
        <v>452</v>
      </c>
      <c r="H829" s="66">
        <v>13334</v>
      </c>
      <c r="I829" s="9">
        <v>467.38879999999995</v>
      </c>
      <c r="J829" s="10">
        <v>1.0340460176991149</v>
      </c>
      <c r="K829" s="66">
        <v>812.76391824071891</v>
      </c>
      <c r="L829" s="69">
        <v>14146.763918240718</v>
      </c>
      <c r="M829" s="64">
        <v>0</v>
      </c>
      <c r="N829" s="67">
        <v>0</v>
      </c>
      <c r="O829" s="64">
        <f t="shared" si="24"/>
        <v>14146.763918240718</v>
      </c>
      <c r="P829" s="64">
        <f t="shared" si="25"/>
        <v>31.298150261594511</v>
      </c>
    </row>
    <row r="830" spans="1:16" ht="15">
      <c r="A830" s="3" t="str">
        <f>"055418"</f>
        <v>055418</v>
      </c>
      <c r="B830" s="3" t="s">
        <v>2756</v>
      </c>
      <c r="C830" s="61" t="s">
        <v>3276</v>
      </c>
      <c r="D830" s="3" t="s">
        <v>3249</v>
      </c>
      <c r="E830" s="3">
        <v>1</v>
      </c>
      <c r="F830" s="3" t="s">
        <v>3220</v>
      </c>
      <c r="G830" s="9">
        <v>421</v>
      </c>
      <c r="H830" s="66">
        <v>12419.5</v>
      </c>
      <c r="I830" s="9">
        <v>441.0256</v>
      </c>
      <c r="J830" s="10">
        <v>1.0475667458432305</v>
      </c>
      <c r="K830" s="66">
        <v>1057.6578499377076</v>
      </c>
      <c r="L830" s="69">
        <v>13477.157849937708</v>
      </c>
      <c r="M830" s="64">
        <v>0</v>
      </c>
      <c r="N830" s="67">
        <v>0</v>
      </c>
      <c r="O830" s="64">
        <f t="shared" si="24"/>
        <v>13477.157849937708</v>
      </c>
      <c r="P830" s="64">
        <f t="shared" si="25"/>
        <v>32.012251425030186</v>
      </c>
    </row>
    <row r="831" spans="1:16" ht="15">
      <c r="A831" s="3" t="str">
        <f>"053801"</f>
        <v>053801</v>
      </c>
      <c r="B831" s="3" t="s">
        <v>2932</v>
      </c>
      <c r="C831" s="61" t="s">
        <v>3276</v>
      </c>
      <c r="D831" s="3" t="s">
        <v>3249</v>
      </c>
      <c r="E831" s="3">
        <v>1</v>
      </c>
      <c r="F831" s="3" t="s">
        <v>3220</v>
      </c>
      <c r="G831" s="9">
        <v>73</v>
      </c>
      <c r="H831" s="66">
        <v>2153.5</v>
      </c>
      <c r="I831" s="9">
        <v>122.4058</v>
      </c>
      <c r="J831" s="10">
        <v>1.6767917808219177</v>
      </c>
      <c r="K831" s="66">
        <v>2609.3816016724791</v>
      </c>
      <c r="L831" s="69">
        <v>4762.8816016724795</v>
      </c>
      <c r="M831" s="64">
        <v>0</v>
      </c>
      <c r="N831" s="67">
        <v>0</v>
      </c>
      <c r="O831" s="64">
        <f t="shared" si="24"/>
        <v>4762.8816016724795</v>
      </c>
      <c r="P831" s="64">
        <f t="shared" si="25"/>
        <v>65.244953447568207</v>
      </c>
    </row>
    <row r="832" spans="1:16" ht="15">
      <c r="A832" s="3" t="str">
        <f>"055582"</f>
        <v>055582</v>
      </c>
      <c r="B832" s="3" t="s">
        <v>3007</v>
      </c>
      <c r="C832" s="61" t="s">
        <v>3276</v>
      </c>
      <c r="D832" s="3" t="s">
        <v>3249</v>
      </c>
      <c r="E832" s="3">
        <v>1</v>
      </c>
      <c r="F832" s="3" t="s">
        <v>3220</v>
      </c>
      <c r="G832" s="9">
        <v>224</v>
      </c>
      <c r="H832" s="66">
        <v>6608</v>
      </c>
      <c r="I832" s="9">
        <v>255.88800000000001</v>
      </c>
      <c r="J832" s="10">
        <v>1.1423571428571428</v>
      </c>
      <c r="K832" s="66">
        <v>1684.1739333060498</v>
      </c>
      <c r="L832" s="69">
        <v>8292.1739333060505</v>
      </c>
      <c r="M832" s="64">
        <v>0</v>
      </c>
      <c r="N832" s="67">
        <v>0</v>
      </c>
      <c r="O832" s="64">
        <f t="shared" si="24"/>
        <v>8292.1739333060505</v>
      </c>
      <c r="P832" s="64">
        <f t="shared" si="25"/>
        <v>37.018633630830585</v>
      </c>
    </row>
    <row r="833" spans="1:16" ht="15">
      <c r="A833" s="3" t="str">
        <f>"053835"</f>
        <v>053835</v>
      </c>
      <c r="B833" s="3" t="s">
        <v>2720</v>
      </c>
      <c r="C833" s="61" t="s">
        <v>3276</v>
      </c>
      <c r="D833" s="3" t="s">
        <v>3249</v>
      </c>
      <c r="E833" s="3">
        <v>1</v>
      </c>
      <c r="F833" s="3" t="s">
        <v>3220</v>
      </c>
      <c r="G833" s="9">
        <v>648</v>
      </c>
      <c r="H833" s="66">
        <v>19116</v>
      </c>
      <c r="I833" s="9">
        <v>676.3463999999999</v>
      </c>
      <c r="J833" s="10">
        <v>1.0437444444444444</v>
      </c>
      <c r="K833" s="66">
        <v>1497.1233060419729</v>
      </c>
      <c r="L833" s="69">
        <v>20613.123306041973</v>
      </c>
      <c r="M833" s="64">
        <v>0</v>
      </c>
      <c r="N833" s="67">
        <v>0</v>
      </c>
      <c r="O833" s="64">
        <f t="shared" si="24"/>
        <v>20613.123306041973</v>
      </c>
      <c r="P833" s="64">
        <f t="shared" si="25"/>
        <v>31.810375472286996</v>
      </c>
    </row>
    <row r="834" spans="1:16" ht="15">
      <c r="A834" s="3" t="str">
        <f>"055608"</f>
        <v>055608</v>
      </c>
      <c r="B834" s="3" t="s">
        <v>2833</v>
      </c>
      <c r="C834" s="61" t="s">
        <v>3276</v>
      </c>
      <c r="D834" s="3" t="s">
        <v>3249</v>
      </c>
      <c r="E834" s="3">
        <v>1</v>
      </c>
      <c r="F834" s="3" t="s">
        <v>3220</v>
      </c>
      <c r="G834" s="9">
        <v>307</v>
      </c>
      <c r="H834" s="66">
        <v>9056.5</v>
      </c>
      <c r="I834" s="9">
        <v>320.27319999999997</v>
      </c>
      <c r="J834" s="10">
        <v>1.0432351791530943</v>
      </c>
      <c r="K834" s="66">
        <v>701.02789298663481</v>
      </c>
      <c r="L834" s="69">
        <v>9757.5278929866345</v>
      </c>
      <c r="M834" s="64">
        <v>0</v>
      </c>
      <c r="N834" s="67">
        <v>0</v>
      </c>
      <c r="O834" s="64">
        <f t="shared" si="24"/>
        <v>9757.5278929866345</v>
      </c>
      <c r="P834" s="64">
        <f t="shared" si="25"/>
        <v>31.783478478783827</v>
      </c>
    </row>
    <row r="835" spans="1:16" ht="15">
      <c r="A835" s="3" t="str">
        <f>"055632"</f>
        <v>055632</v>
      </c>
      <c r="B835" s="3" t="s">
        <v>2969</v>
      </c>
      <c r="C835" s="61" t="s">
        <v>3276</v>
      </c>
      <c r="D835" s="3" t="s">
        <v>3249</v>
      </c>
      <c r="E835" s="3">
        <v>1</v>
      </c>
      <c r="F835" s="3" t="s">
        <v>3220</v>
      </c>
      <c r="G835" s="9">
        <v>146</v>
      </c>
      <c r="H835" s="66">
        <v>4307</v>
      </c>
      <c r="I835" s="9">
        <v>159.89899999999997</v>
      </c>
      <c r="J835" s="10">
        <v>1.095198630136986</v>
      </c>
      <c r="K835" s="66">
        <v>734.07970079718814</v>
      </c>
      <c r="L835" s="69">
        <v>5041.0797007971878</v>
      </c>
      <c r="M835" s="64">
        <v>0</v>
      </c>
      <c r="N835" s="67">
        <v>0</v>
      </c>
      <c r="O835" s="64">
        <f t="shared" ref="O835:O898" si="26">(N835+L835)</f>
        <v>5041.0797007971878</v>
      </c>
      <c r="P835" s="64">
        <f t="shared" ref="P835:P898" si="27">O835/G835</f>
        <v>34.52794315614512</v>
      </c>
    </row>
    <row r="836" spans="1:16" ht="15">
      <c r="A836" s="3" t="str">
        <f>"055640"</f>
        <v>055640</v>
      </c>
      <c r="B836" s="3" t="s">
        <v>2997</v>
      </c>
      <c r="C836" s="61" t="s">
        <v>3276</v>
      </c>
      <c r="D836" s="3" t="s">
        <v>3249</v>
      </c>
      <c r="E836" s="3">
        <v>1</v>
      </c>
      <c r="F836" s="3" t="s">
        <v>3220</v>
      </c>
      <c r="G836" s="9">
        <v>238</v>
      </c>
      <c r="H836" s="66">
        <v>7021</v>
      </c>
      <c r="I836" s="9">
        <v>263.6574</v>
      </c>
      <c r="J836" s="10">
        <v>1.1078042016806722</v>
      </c>
      <c r="K836" s="66">
        <v>1355.1029941171169</v>
      </c>
      <c r="L836" s="69">
        <v>8376.1029941171164</v>
      </c>
      <c r="M836" s="64">
        <v>0</v>
      </c>
      <c r="N836" s="67">
        <v>0</v>
      </c>
      <c r="O836" s="64">
        <f t="shared" si="26"/>
        <v>8376.1029941171164</v>
      </c>
      <c r="P836" s="64">
        <f t="shared" si="27"/>
        <v>35.193710059315613</v>
      </c>
    </row>
    <row r="837" spans="1:16" ht="15">
      <c r="A837" s="3" t="str">
        <f>"055657"</f>
        <v>055657</v>
      </c>
      <c r="B837" s="3" t="s">
        <v>3023</v>
      </c>
      <c r="C837" s="61" t="s">
        <v>3276</v>
      </c>
      <c r="D837" s="3" t="s">
        <v>3249</v>
      </c>
      <c r="E837" s="3">
        <v>1</v>
      </c>
      <c r="F837" s="3" t="s">
        <v>3220</v>
      </c>
      <c r="G837" s="9">
        <v>238</v>
      </c>
      <c r="H837" s="66">
        <v>7021</v>
      </c>
      <c r="I837" s="9">
        <v>317.37080000000003</v>
      </c>
      <c r="J837" s="10">
        <v>1.3334907563025211</v>
      </c>
      <c r="K837" s="66">
        <v>4191.9917343717962</v>
      </c>
      <c r="L837" s="69">
        <v>11212.991734371797</v>
      </c>
      <c r="M837" s="64">
        <v>0</v>
      </c>
      <c r="N837" s="67">
        <v>0</v>
      </c>
      <c r="O837" s="64">
        <f t="shared" si="26"/>
        <v>11212.991734371797</v>
      </c>
      <c r="P837" s="64">
        <f t="shared" si="27"/>
        <v>47.113410648620999</v>
      </c>
    </row>
    <row r="838" spans="1:16" ht="15">
      <c r="A838" s="3" t="str">
        <f>"053876"</f>
        <v>053876</v>
      </c>
      <c r="B838" s="3" t="s">
        <v>2860</v>
      </c>
      <c r="C838" s="61" t="s">
        <v>3276</v>
      </c>
      <c r="D838" s="3" t="s">
        <v>3249</v>
      </c>
      <c r="E838" s="3">
        <v>1</v>
      </c>
      <c r="F838" s="3" t="s">
        <v>3220</v>
      </c>
      <c r="G838" s="9">
        <v>1403</v>
      </c>
      <c r="H838" s="66">
        <v>41388.5</v>
      </c>
      <c r="I838" s="9">
        <v>1419.9602</v>
      </c>
      <c r="J838" s="10">
        <v>1.0120885245901639</v>
      </c>
      <c r="K838" s="66">
        <v>895.75786326070101</v>
      </c>
      <c r="L838" s="69">
        <v>42284.257863260704</v>
      </c>
      <c r="M838" s="64">
        <v>0</v>
      </c>
      <c r="N838" s="67">
        <v>0</v>
      </c>
      <c r="O838" s="64">
        <f t="shared" si="26"/>
        <v>42284.257863260704</v>
      </c>
      <c r="P838" s="64">
        <f t="shared" si="27"/>
        <v>30.138458918931363</v>
      </c>
    </row>
    <row r="839" spans="1:16" ht="15">
      <c r="A839" s="3" t="str">
        <f>"009453"</f>
        <v>009453</v>
      </c>
      <c r="B839" s="3" t="s">
        <v>2752</v>
      </c>
      <c r="C839" s="61" t="s">
        <v>3276</v>
      </c>
      <c r="D839" s="3" t="s">
        <v>3249</v>
      </c>
      <c r="E839" s="3">
        <v>1</v>
      </c>
      <c r="F839" s="3" t="s">
        <v>3220</v>
      </c>
      <c r="G839" s="9">
        <v>151</v>
      </c>
      <c r="H839" s="66">
        <v>4454.5</v>
      </c>
      <c r="I839" s="9">
        <v>166.1114</v>
      </c>
      <c r="J839" s="10">
        <v>1.1000754966887418</v>
      </c>
      <c r="K839" s="66">
        <v>798.11295709235571</v>
      </c>
      <c r="L839" s="69">
        <v>5252.6129570923558</v>
      </c>
      <c r="M839" s="64">
        <v>0</v>
      </c>
      <c r="N839" s="67">
        <v>0</v>
      </c>
      <c r="O839" s="64">
        <f t="shared" si="26"/>
        <v>5252.6129570923558</v>
      </c>
      <c r="P839" s="64">
        <f t="shared" si="27"/>
        <v>34.785516272134807</v>
      </c>
    </row>
    <row r="840" spans="1:16" ht="15">
      <c r="A840" s="3" t="s">
        <v>30</v>
      </c>
      <c r="B840" s="3" t="s">
        <v>31</v>
      </c>
      <c r="C840" s="61" t="s">
        <v>3276</v>
      </c>
      <c r="D840" s="3" t="s">
        <v>1684</v>
      </c>
      <c r="E840" s="3">
        <v>1</v>
      </c>
      <c r="F840" s="3" t="s">
        <v>3266</v>
      </c>
      <c r="G840" s="9">
        <v>110.884849</v>
      </c>
      <c r="H840" s="66">
        <v>3271.1030455</v>
      </c>
      <c r="I840" s="9">
        <v>332.56354846903201</v>
      </c>
      <c r="J840" s="10">
        <v>2.9991793420671207</v>
      </c>
      <c r="K840" s="66">
        <v>11708.02456143155</v>
      </c>
      <c r="L840" s="69">
        <v>14979.12760693155</v>
      </c>
      <c r="M840" s="64">
        <v>0</v>
      </c>
      <c r="N840" s="67">
        <v>0</v>
      </c>
      <c r="O840" s="64">
        <f t="shared" si="26"/>
        <v>14979.12760693155</v>
      </c>
      <c r="P840" s="64">
        <f t="shared" si="27"/>
        <v>135.08723456828218</v>
      </c>
    </row>
    <row r="841" spans="1:16" ht="15">
      <c r="A841" s="3" t="str">
        <f>"017433"</f>
        <v>017433</v>
      </c>
      <c r="B841" s="3" t="s">
        <v>3167</v>
      </c>
      <c r="C841" s="61" t="s">
        <v>3276</v>
      </c>
      <c r="D841" s="3" t="s">
        <v>3249</v>
      </c>
      <c r="E841" s="3">
        <v>1</v>
      </c>
      <c r="F841" s="3" t="s">
        <v>3220</v>
      </c>
      <c r="G841" s="9">
        <v>10</v>
      </c>
      <c r="H841" s="66">
        <v>295</v>
      </c>
      <c r="I841" s="9">
        <v>10</v>
      </c>
      <c r="J841" s="10">
        <v>1</v>
      </c>
      <c r="K841" s="66">
        <v>0</v>
      </c>
      <c r="L841" s="69">
        <v>295</v>
      </c>
      <c r="M841" s="64">
        <v>0</v>
      </c>
      <c r="N841" s="67">
        <v>0</v>
      </c>
      <c r="O841" s="64">
        <f t="shared" si="26"/>
        <v>295</v>
      </c>
      <c r="P841" s="64">
        <f t="shared" si="27"/>
        <v>29.5</v>
      </c>
    </row>
    <row r="842" spans="1:16" ht="15">
      <c r="A842" s="3" t="s">
        <v>77</v>
      </c>
      <c r="B842" s="3" t="s">
        <v>78</v>
      </c>
      <c r="C842" s="61" t="s">
        <v>3276</v>
      </c>
      <c r="D842" s="3" t="s">
        <v>1684</v>
      </c>
      <c r="E842" s="3">
        <v>1</v>
      </c>
      <c r="F842" s="3" t="s">
        <v>3266</v>
      </c>
      <c r="G842" s="9">
        <v>81.043854999999994</v>
      </c>
      <c r="H842" s="66">
        <v>2390.7937224999996</v>
      </c>
      <c r="I842" s="9">
        <v>205.48044581725799</v>
      </c>
      <c r="J842" s="10">
        <v>2.5354228993334287</v>
      </c>
      <c r="K842" s="66">
        <v>6572.1544971116664</v>
      </c>
      <c r="L842" s="69">
        <v>8962.948219611666</v>
      </c>
      <c r="M842" s="64">
        <v>0</v>
      </c>
      <c r="N842" s="67">
        <v>0</v>
      </c>
      <c r="O842" s="64">
        <f t="shared" si="26"/>
        <v>8962.948219611666</v>
      </c>
      <c r="P842" s="64">
        <f t="shared" si="27"/>
        <v>110.59380405351727</v>
      </c>
    </row>
    <row r="843" spans="1:16" ht="15">
      <c r="A843" s="3" t="str">
        <f>"053900"</f>
        <v>053900</v>
      </c>
      <c r="B843" s="3" t="s">
        <v>2845</v>
      </c>
      <c r="C843" s="61" t="s">
        <v>3276</v>
      </c>
      <c r="D843" s="3" t="s">
        <v>3249</v>
      </c>
      <c r="E843" s="3">
        <v>1</v>
      </c>
      <c r="F843" s="3" t="s">
        <v>3220</v>
      </c>
      <c r="G843" s="9">
        <v>773</v>
      </c>
      <c r="H843" s="66">
        <v>22803.5</v>
      </c>
      <c r="I843" s="9">
        <v>787.74800000000005</v>
      </c>
      <c r="J843" s="10">
        <v>1.0190789133247089</v>
      </c>
      <c r="K843" s="66">
        <v>778.91988109626493</v>
      </c>
      <c r="L843" s="69">
        <v>23582.419881096266</v>
      </c>
      <c r="M843" s="64">
        <v>0</v>
      </c>
      <c r="N843" s="67">
        <v>0</v>
      </c>
      <c r="O843" s="64">
        <f t="shared" si="26"/>
        <v>23582.419881096266</v>
      </c>
      <c r="P843" s="64">
        <f t="shared" si="27"/>
        <v>30.50765831965882</v>
      </c>
    </row>
    <row r="844" spans="1:16" ht="15">
      <c r="A844" s="3" t="s">
        <v>797</v>
      </c>
      <c r="B844" s="3" t="s">
        <v>798</v>
      </c>
      <c r="C844" s="61" t="s">
        <v>3276</v>
      </c>
      <c r="D844" s="3" t="s">
        <v>3248</v>
      </c>
      <c r="E844" s="3">
        <v>1</v>
      </c>
      <c r="F844" s="3" t="s">
        <v>1907</v>
      </c>
      <c r="G844" s="9">
        <v>5398.5068060000003</v>
      </c>
      <c r="H844" s="66">
        <v>159255.95077700002</v>
      </c>
      <c r="I844" s="9">
        <v>6440.8124735687597</v>
      </c>
      <c r="J844" s="10">
        <v>1.1930729561015505</v>
      </c>
      <c r="K844" s="66">
        <v>55049.674982954879</v>
      </c>
      <c r="L844" s="69">
        <v>214305.62575995491</v>
      </c>
      <c r="M844" s="64">
        <v>3700720.2859409596</v>
      </c>
      <c r="N844" s="67">
        <v>74178.353851705193</v>
      </c>
      <c r="O844" s="64">
        <f t="shared" si="26"/>
        <v>288483.97961166012</v>
      </c>
      <c r="P844" s="64">
        <f t="shared" si="27"/>
        <v>53.437735651464529</v>
      </c>
    </row>
    <row r="845" spans="1:16" ht="15">
      <c r="A845" s="3" t="s">
        <v>353</v>
      </c>
      <c r="B845" s="3" t="s">
        <v>354</v>
      </c>
      <c r="C845" s="61" t="s">
        <v>3276</v>
      </c>
      <c r="D845" s="3" t="s">
        <v>1684</v>
      </c>
      <c r="E845" s="3">
        <v>1</v>
      </c>
      <c r="F845" s="3" t="s">
        <v>3266</v>
      </c>
      <c r="G845" s="9">
        <v>509.929822</v>
      </c>
      <c r="H845" s="66">
        <v>15042.929749000001</v>
      </c>
      <c r="I845" s="9">
        <v>622.57194551817702</v>
      </c>
      <c r="J845" s="10">
        <v>1.2208973051946292</v>
      </c>
      <c r="K845" s="66">
        <v>5949.2262989699584</v>
      </c>
      <c r="L845" s="69">
        <v>20992.156047969958</v>
      </c>
      <c r="M845" s="64">
        <v>0</v>
      </c>
      <c r="N845" s="67">
        <v>0</v>
      </c>
      <c r="O845" s="64">
        <f t="shared" si="26"/>
        <v>20992.156047969958</v>
      </c>
      <c r="P845" s="64">
        <f t="shared" si="27"/>
        <v>41.166754997063023</v>
      </c>
    </row>
    <row r="846" spans="1:16" ht="15">
      <c r="A846" s="3" t="str">
        <f>"122481"</f>
        <v>122481</v>
      </c>
      <c r="B846" s="3" t="s">
        <v>3062</v>
      </c>
      <c r="C846" s="61" t="s">
        <v>3276</v>
      </c>
      <c r="D846" s="3" t="s">
        <v>3249</v>
      </c>
      <c r="E846" s="3">
        <v>1</v>
      </c>
      <c r="F846" s="3" t="s">
        <v>3220</v>
      </c>
      <c r="G846" s="9">
        <v>16</v>
      </c>
      <c r="H846" s="66">
        <v>472</v>
      </c>
      <c r="I846" s="9">
        <v>16</v>
      </c>
      <c r="J846" s="10">
        <v>1</v>
      </c>
      <c r="K846" s="66">
        <v>0</v>
      </c>
      <c r="L846" s="69">
        <v>472</v>
      </c>
      <c r="M846" s="64">
        <v>0</v>
      </c>
      <c r="N846" s="67">
        <v>0</v>
      </c>
      <c r="O846" s="64">
        <f t="shared" si="26"/>
        <v>472</v>
      </c>
      <c r="P846" s="64">
        <f t="shared" si="27"/>
        <v>29.5</v>
      </c>
    </row>
    <row r="847" spans="1:16" ht="15">
      <c r="A847" s="3" t="str">
        <f>"064931"</f>
        <v>064931</v>
      </c>
      <c r="B847" s="3" t="s">
        <v>2620</v>
      </c>
      <c r="C847" s="61" t="s">
        <v>3276</v>
      </c>
      <c r="D847" s="3" t="s">
        <v>3249</v>
      </c>
      <c r="E847" s="3">
        <v>1</v>
      </c>
      <c r="F847" s="3" t="s">
        <v>3220</v>
      </c>
      <c r="G847" s="9">
        <v>197</v>
      </c>
      <c r="H847" s="66">
        <v>5811.5</v>
      </c>
      <c r="I847" s="9">
        <v>207.4</v>
      </c>
      <c r="J847" s="10">
        <v>1.0527918781725889</v>
      </c>
      <c r="K847" s="66">
        <v>549.27900484141128</v>
      </c>
      <c r="L847" s="69">
        <v>6360.7790048414117</v>
      </c>
      <c r="M847" s="64">
        <v>0</v>
      </c>
      <c r="N847" s="67">
        <v>0</v>
      </c>
      <c r="O847" s="64">
        <f t="shared" si="26"/>
        <v>6360.7790048414117</v>
      </c>
      <c r="P847" s="64">
        <f t="shared" si="27"/>
        <v>32.288218298687369</v>
      </c>
    </row>
    <row r="848" spans="1:16" ht="15">
      <c r="A848" s="3" t="str">
        <f>"138073"</f>
        <v>138073</v>
      </c>
      <c r="B848" s="3" t="s">
        <v>2964</v>
      </c>
      <c r="C848" s="61" t="s">
        <v>3276</v>
      </c>
      <c r="D848" s="3" t="s">
        <v>3249</v>
      </c>
      <c r="E848" s="3">
        <v>1</v>
      </c>
      <c r="F848" s="3" t="s">
        <v>3220</v>
      </c>
      <c r="G848" s="9">
        <v>159</v>
      </c>
      <c r="H848" s="66">
        <v>4690.5</v>
      </c>
      <c r="I848" s="9">
        <v>171.55799999999999</v>
      </c>
      <c r="J848" s="10">
        <v>1.0789811320754716</v>
      </c>
      <c r="K848" s="66">
        <v>663.25439834600331</v>
      </c>
      <c r="L848" s="69">
        <v>5353.7543983460037</v>
      </c>
      <c r="M848" s="64">
        <v>0</v>
      </c>
      <c r="N848" s="67">
        <v>0</v>
      </c>
      <c r="O848" s="64">
        <f t="shared" si="26"/>
        <v>5353.7543983460037</v>
      </c>
      <c r="P848" s="64">
        <f t="shared" si="27"/>
        <v>33.671411310352227</v>
      </c>
    </row>
    <row r="849" spans="1:16" ht="15">
      <c r="A849" s="3" t="str">
        <f>"070912"</f>
        <v>070912</v>
      </c>
      <c r="B849" s="3" t="s">
        <v>2579</v>
      </c>
      <c r="C849" s="61" t="s">
        <v>3276</v>
      </c>
      <c r="D849" s="3" t="s">
        <v>3249</v>
      </c>
      <c r="E849" s="3">
        <v>1</v>
      </c>
      <c r="F849" s="3" t="s">
        <v>3220</v>
      </c>
      <c r="G849" s="9">
        <v>94</v>
      </c>
      <c r="H849" s="66">
        <v>2773</v>
      </c>
      <c r="I849" s="9">
        <v>94</v>
      </c>
      <c r="J849" s="10">
        <v>1</v>
      </c>
      <c r="K849" s="66">
        <v>0</v>
      </c>
      <c r="L849" s="69">
        <v>2773</v>
      </c>
      <c r="M849" s="64">
        <v>0</v>
      </c>
      <c r="N849" s="67">
        <v>0</v>
      </c>
      <c r="O849" s="64">
        <f t="shared" si="26"/>
        <v>2773</v>
      </c>
      <c r="P849" s="64">
        <f t="shared" si="27"/>
        <v>29.5</v>
      </c>
    </row>
    <row r="850" spans="1:16" ht="15">
      <c r="A850" s="3" t="s">
        <v>1189</v>
      </c>
      <c r="B850" s="3" t="s">
        <v>1869</v>
      </c>
      <c r="C850" s="61" t="s">
        <v>3276</v>
      </c>
      <c r="D850" s="3" t="s">
        <v>3248</v>
      </c>
      <c r="E850" s="3">
        <v>1</v>
      </c>
      <c r="F850" s="3" t="s">
        <v>1906</v>
      </c>
      <c r="G850" s="9">
        <v>2117.1178450000002</v>
      </c>
      <c r="H850" s="66">
        <v>62454.976427500005</v>
      </c>
      <c r="I850" s="9">
        <v>2569.8742410391201</v>
      </c>
      <c r="J850" s="10">
        <v>1.213855075242219</v>
      </c>
      <c r="K850" s="66">
        <v>23912.459870379953</v>
      </c>
      <c r="L850" s="69">
        <v>86367.436297879962</v>
      </c>
      <c r="M850" s="64">
        <v>1395546.1298713989</v>
      </c>
      <c r="N850" s="67">
        <v>27972.747638141784</v>
      </c>
      <c r="O850" s="64">
        <f t="shared" si="26"/>
        <v>114340.18393602174</v>
      </c>
      <c r="P850" s="64">
        <f t="shared" si="27"/>
        <v>54.007472567509218</v>
      </c>
    </row>
    <row r="851" spans="1:16" ht="15">
      <c r="A851" s="3" t="str">
        <f>"019211"</f>
        <v>019211</v>
      </c>
      <c r="B851" s="3" t="s">
        <v>2598</v>
      </c>
      <c r="C851" s="61" t="s">
        <v>3276</v>
      </c>
      <c r="D851" s="3" t="s">
        <v>3249</v>
      </c>
      <c r="E851" s="3">
        <v>1</v>
      </c>
      <c r="F851" s="3" t="s">
        <v>3220</v>
      </c>
      <c r="G851" s="9">
        <v>28</v>
      </c>
      <c r="H851" s="66">
        <v>826</v>
      </c>
      <c r="I851" s="9">
        <v>28</v>
      </c>
      <c r="J851" s="10">
        <v>1</v>
      </c>
      <c r="K851" s="66">
        <v>0</v>
      </c>
      <c r="L851" s="69">
        <v>826</v>
      </c>
      <c r="M851" s="64">
        <v>0</v>
      </c>
      <c r="N851" s="67">
        <v>0</v>
      </c>
      <c r="O851" s="64">
        <f t="shared" si="26"/>
        <v>826</v>
      </c>
      <c r="P851" s="64">
        <f t="shared" si="27"/>
        <v>29.5</v>
      </c>
    </row>
    <row r="852" spans="1:16" ht="15">
      <c r="A852" s="52" t="s">
        <v>3244</v>
      </c>
      <c r="B852" s="52" t="s">
        <v>3245</v>
      </c>
      <c r="C852" s="61" t="s">
        <v>3276</v>
      </c>
      <c r="D852" s="3" t="s">
        <v>1684</v>
      </c>
      <c r="E852" s="3">
        <v>1</v>
      </c>
      <c r="F852" s="3" t="s">
        <v>3266</v>
      </c>
      <c r="G852" s="9">
        <v>19.37</v>
      </c>
      <c r="H852" s="66">
        <v>571.41500000000008</v>
      </c>
      <c r="I852" s="9">
        <v>20.487024000000002</v>
      </c>
      <c r="J852" s="10">
        <v>1.0576677336086733</v>
      </c>
      <c r="K852" s="66">
        <v>58.995945298458913</v>
      </c>
      <c r="L852" s="69">
        <v>630.41094529845896</v>
      </c>
      <c r="M852" s="64">
        <v>0</v>
      </c>
      <c r="N852" s="67">
        <v>0</v>
      </c>
      <c r="O852" s="64">
        <f t="shared" si="26"/>
        <v>630.41094529845896</v>
      </c>
      <c r="P852" s="64">
        <f t="shared" si="27"/>
        <v>32.545738012310736</v>
      </c>
    </row>
    <row r="853" spans="1:16" ht="15">
      <c r="A853" s="3" t="str">
        <f>"053942"</f>
        <v>053942</v>
      </c>
      <c r="B853" s="3" t="s">
        <v>2648</v>
      </c>
      <c r="C853" s="61" t="s">
        <v>3276</v>
      </c>
      <c r="D853" s="3" t="s">
        <v>3249</v>
      </c>
      <c r="E853" s="3">
        <v>1</v>
      </c>
      <c r="F853" s="3" t="s">
        <v>3220</v>
      </c>
      <c r="G853" s="9">
        <v>572</v>
      </c>
      <c r="H853" s="66">
        <v>16874</v>
      </c>
      <c r="I853" s="9">
        <v>572.73739999999998</v>
      </c>
      <c r="J853" s="10">
        <v>1.0012891608391608</v>
      </c>
      <c r="K853" s="66">
        <v>38.945994054812047</v>
      </c>
      <c r="L853" s="69">
        <v>16912.945994054811</v>
      </c>
      <c r="M853" s="64">
        <v>0</v>
      </c>
      <c r="N853" s="67">
        <v>0</v>
      </c>
      <c r="O853" s="64">
        <f t="shared" si="26"/>
        <v>16912.945994054811</v>
      </c>
      <c r="P853" s="64">
        <f t="shared" si="27"/>
        <v>29.568087402193726</v>
      </c>
    </row>
    <row r="854" spans="1:16" ht="15">
      <c r="A854" s="3" t="s">
        <v>651</v>
      </c>
      <c r="B854" s="3" t="s">
        <v>652</v>
      </c>
      <c r="C854" s="61" t="s">
        <v>3276</v>
      </c>
      <c r="D854" s="3" t="s">
        <v>3248</v>
      </c>
      <c r="E854" s="3">
        <v>1</v>
      </c>
      <c r="F854" s="3" t="s">
        <v>1909</v>
      </c>
      <c r="G854" s="9">
        <v>3746.887471</v>
      </c>
      <c r="H854" s="66">
        <v>110533.1803945</v>
      </c>
      <c r="I854" s="9">
        <v>5001.7964267031703</v>
      </c>
      <c r="J854" s="10">
        <v>1.3349203746885545</v>
      </c>
      <c r="K854" s="66">
        <v>66278.379072616503</v>
      </c>
      <c r="L854" s="69">
        <v>176811.55946711649</v>
      </c>
      <c r="M854" s="64">
        <v>2407258.7374276808</v>
      </c>
      <c r="N854" s="67">
        <v>48251.820359375415</v>
      </c>
      <c r="O854" s="64">
        <f t="shared" si="26"/>
        <v>225063.3798264919</v>
      </c>
      <c r="P854" s="64">
        <f t="shared" si="27"/>
        <v>60.066757160023585</v>
      </c>
    </row>
    <row r="855" spans="1:16" ht="15">
      <c r="A855" s="3" t="s">
        <v>850</v>
      </c>
      <c r="B855" s="3" t="s">
        <v>851</v>
      </c>
      <c r="C855" s="61" t="s">
        <v>3276</v>
      </c>
      <c r="D855" s="3" t="s">
        <v>3248</v>
      </c>
      <c r="E855" s="3">
        <v>1</v>
      </c>
      <c r="F855" s="3" t="s">
        <v>1907</v>
      </c>
      <c r="G855" s="9">
        <v>1970.731761</v>
      </c>
      <c r="H855" s="66">
        <v>58136.586949500001</v>
      </c>
      <c r="I855" s="9">
        <v>2188.9260472767801</v>
      </c>
      <c r="J855" s="10">
        <v>1.1107173947235025</v>
      </c>
      <c r="K855" s="66">
        <v>11523.99427194151</v>
      </c>
      <c r="L855" s="69">
        <v>69660.581221441505</v>
      </c>
      <c r="M855" s="64">
        <v>278668.64246384287</v>
      </c>
      <c r="N855" s="67">
        <v>5585.7183388290914</v>
      </c>
      <c r="O855" s="64">
        <f t="shared" si="26"/>
        <v>75246.299560270592</v>
      </c>
      <c r="P855" s="64">
        <f t="shared" si="27"/>
        <v>38.181908390256361</v>
      </c>
    </row>
    <row r="856" spans="1:16" ht="15">
      <c r="A856" s="3" t="str">
        <f>"095364"</f>
        <v>095364</v>
      </c>
      <c r="B856" s="3" t="s">
        <v>2695</v>
      </c>
      <c r="C856" s="61" t="s">
        <v>3276</v>
      </c>
      <c r="D856" s="3" t="s">
        <v>3249</v>
      </c>
      <c r="E856" s="3">
        <v>1</v>
      </c>
      <c r="F856" s="3" t="s">
        <v>3220</v>
      </c>
      <c r="G856" s="9">
        <v>101</v>
      </c>
      <c r="H856" s="66">
        <v>2979.5</v>
      </c>
      <c r="I856" s="9">
        <v>105.42440000000001</v>
      </c>
      <c r="J856" s="10">
        <v>1.0438059405940594</v>
      </c>
      <c r="K856" s="66">
        <v>233.67596432887905</v>
      </c>
      <c r="L856" s="69">
        <v>3213.1759643288792</v>
      </c>
      <c r="M856" s="64">
        <v>0</v>
      </c>
      <c r="N856" s="67">
        <v>0</v>
      </c>
      <c r="O856" s="64">
        <f t="shared" si="26"/>
        <v>3213.1759643288792</v>
      </c>
      <c r="P856" s="64">
        <f t="shared" si="27"/>
        <v>31.813623409196826</v>
      </c>
    </row>
    <row r="857" spans="1:16" ht="15">
      <c r="A857" s="3" t="s">
        <v>1190</v>
      </c>
      <c r="B857" s="3" t="s">
        <v>1191</v>
      </c>
      <c r="C857" s="61" t="s">
        <v>3292</v>
      </c>
      <c r="D857" s="3" t="s">
        <v>3248</v>
      </c>
      <c r="E857" s="3">
        <v>1</v>
      </c>
      <c r="F857" s="3" t="s">
        <v>3223</v>
      </c>
      <c r="G857" s="9">
        <v>560.354421</v>
      </c>
      <c r="H857" s="66">
        <v>16530.455419500002</v>
      </c>
      <c r="I857" s="9">
        <v>618.96341568188905</v>
      </c>
      <c r="J857" s="10">
        <v>1.1045927229007961</v>
      </c>
      <c r="K857" s="66">
        <v>3095.4509878484196</v>
      </c>
      <c r="L857" s="69">
        <v>19625.906407348422</v>
      </c>
      <c r="M857" s="64">
        <v>421341.61537981062</v>
      </c>
      <c r="N857" s="67">
        <v>8445.4984498094254</v>
      </c>
      <c r="O857" s="64">
        <f t="shared" si="26"/>
        <v>28071.404857157846</v>
      </c>
      <c r="P857" s="64">
        <f t="shared" si="27"/>
        <v>50.095803307952927</v>
      </c>
    </row>
    <row r="858" spans="1:16" ht="15">
      <c r="A858" s="3" t="s">
        <v>1192</v>
      </c>
      <c r="B858" s="3" t="s">
        <v>1193</v>
      </c>
      <c r="C858" s="61" t="s">
        <v>3292</v>
      </c>
      <c r="D858" s="3" t="s">
        <v>3248</v>
      </c>
      <c r="E858" s="3">
        <v>1</v>
      </c>
      <c r="F858" s="3" t="s">
        <v>3224</v>
      </c>
      <c r="G858" s="9">
        <v>552.27670000000001</v>
      </c>
      <c r="H858" s="66">
        <v>16292.16265</v>
      </c>
      <c r="I858" s="9">
        <v>632.17401533876898</v>
      </c>
      <c r="J858" s="10">
        <v>1.1446689953401419</v>
      </c>
      <c r="K858" s="66">
        <v>4219.7997941134063</v>
      </c>
      <c r="L858" s="69">
        <v>20511.962444113407</v>
      </c>
      <c r="M858" s="64">
        <v>263790.33856016211</v>
      </c>
      <c r="N858" s="67">
        <v>5287.4931268688142</v>
      </c>
      <c r="O858" s="64">
        <f t="shared" si="26"/>
        <v>25799.455570982223</v>
      </c>
      <c r="P858" s="64">
        <f t="shared" si="27"/>
        <v>46.714727546865952</v>
      </c>
    </row>
    <row r="859" spans="1:16" ht="15">
      <c r="A859" s="3" t="s">
        <v>1194</v>
      </c>
      <c r="B859" s="3" t="s">
        <v>1195</v>
      </c>
      <c r="C859" s="61" t="s">
        <v>3292</v>
      </c>
      <c r="D859" s="3" t="s">
        <v>3248</v>
      </c>
      <c r="E859" s="3">
        <v>1</v>
      </c>
      <c r="F859" s="3" t="s">
        <v>1904</v>
      </c>
      <c r="G859" s="9">
        <v>517.001575</v>
      </c>
      <c r="H859" s="66">
        <v>15251.5464625</v>
      </c>
      <c r="I859" s="9">
        <v>625.613607164771</v>
      </c>
      <c r="J859" s="10">
        <v>1.2100806601310083</v>
      </c>
      <c r="K859" s="66">
        <v>5736.3758597373781</v>
      </c>
      <c r="L859" s="69">
        <v>20987.922322237377</v>
      </c>
      <c r="M859" s="64">
        <v>640932.49878673523</v>
      </c>
      <c r="N859" s="67">
        <v>12847.044363411409</v>
      </c>
      <c r="O859" s="64">
        <f t="shared" si="26"/>
        <v>33834.966685648789</v>
      </c>
      <c r="P859" s="64">
        <f t="shared" si="27"/>
        <v>65.444610464965777</v>
      </c>
    </row>
    <row r="860" spans="1:16" ht="15">
      <c r="A860" s="3" t="s">
        <v>635</v>
      </c>
      <c r="B860" s="3" t="s">
        <v>636</v>
      </c>
      <c r="C860" s="61" t="s">
        <v>3292</v>
      </c>
      <c r="D860" s="3" t="s">
        <v>3248</v>
      </c>
      <c r="E860" s="3">
        <v>1</v>
      </c>
      <c r="F860" s="3" t="s">
        <v>1909</v>
      </c>
      <c r="G860" s="9">
        <v>5469.1083360000002</v>
      </c>
      <c r="H860" s="66">
        <v>161338.695912</v>
      </c>
      <c r="I860" s="9">
        <v>6914.0913257112998</v>
      </c>
      <c r="J860" s="10">
        <v>1.264208148922523</v>
      </c>
      <c r="K860" s="66">
        <v>76317.194096287436</v>
      </c>
      <c r="L860" s="69">
        <v>237655.89000828745</v>
      </c>
      <c r="M860" s="64">
        <v>1593808.3590910805</v>
      </c>
      <c r="N860" s="67">
        <v>31946.775572745879</v>
      </c>
      <c r="O860" s="64">
        <f t="shared" si="26"/>
        <v>269602.66558103333</v>
      </c>
      <c r="P860" s="64">
        <f t="shared" si="27"/>
        <v>49.295543079004993</v>
      </c>
    </row>
    <row r="861" spans="1:16" ht="15">
      <c r="A861" s="3" t="s">
        <v>46</v>
      </c>
      <c r="B861" s="61" t="s">
        <v>47</v>
      </c>
      <c r="C861" s="61" t="s">
        <v>3292</v>
      </c>
      <c r="D861" s="3" t="s">
        <v>1684</v>
      </c>
      <c r="E861" s="3">
        <v>1</v>
      </c>
      <c r="F861" s="3" t="s">
        <v>3267</v>
      </c>
      <c r="G861" s="9">
        <v>127.4224</v>
      </c>
      <c r="H861" s="66">
        <v>751.79215999999997</v>
      </c>
      <c r="I861" s="9">
        <v>158.73874106417199</v>
      </c>
      <c r="J861" s="10">
        <v>1.2457679424039414</v>
      </c>
      <c r="K861" s="66">
        <v>0</v>
      </c>
      <c r="L861" s="69">
        <v>751.79215999999997</v>
      </c>
      <c r="M861" s="64">
        <v>0</v>
      </c>
      <c r="N861" s="67">
        <v>0</v>
      </c>
      <c r="O861" s="64">
        <f t="shared" si="26"/>
        <v>751.79215999999997</v>
      </c>
      <c r="P861" s="64">
        <f t="shared" si="27"/>
        <v>5.9</v>
      </c>
    </row>
    <row r="862" spans="1:16" ht="15">
      <c r="A862" s="19">
        <v>66019</v>
      </c>
      <c r="B862" s="20" t="s">
        <v>1948</v>
      </c>
      <c r="C862" s="61" t="s">
        <v>3292</v>
      </c>
      <c r="D862" s="19" t="s">
        <v>1973</v>
      </c>
      <c r="E862" s="19">
        <v>1</v>
      </c>
      <c r="F862" s="19" t="s">
        <v>1974</v>
      </c>
      <c r="G862" s="9">
        <v>14.96</v>
      </c>
      <c r="H862" s="66">
        <v>441.32000000000005</v>
      </c>
      <c r="I862" s="9">
        <v>67.237616000000003</v>
      </c>
      <c r="J862" s="10">
        <v>4.4944930481283425</v>
      </c>
      <c r="K862" s="66">
        <v>2761.0573934578292</v>
      </c>
      <c r="L862" s="69">
        <v>3202.3773934578294</v>
      </c>
      <c r="M862" s="64">
        <v>0</v>
      </c>
      <c r="N862" s="67">
        <v>0</v>
      </c>
      <c r="O862" s="64">
        <f t="shared" si="26"/>
        <v>3202.3773934578294</v>
      </c>
      <c r="P862" s="64">
        <f t="shared" si="27"/>
        <v>214.0626599904966</v>
      </c>
    </row>
    <row r="863" spans="1:16" ht="15">
      <c r="A863" s="3" t="s">
        <v>1196</v>
      </c>
      <c r="B863" s="3" t="s">
        <v>1197</v>
      </c>
      <c r="C863" s="61" t="s">
        <v>3292</v>
      </c>
      <c r="D863" s="3" t="s">
        <v>3248</v>
      </c>
      <c r="E863" s="3">
        <v>1</v>
      </c>
      <c r="F863" s="3" t="s">
        <v>1904</v>
      </c>
      <c r="G863" s="9">
        <v>1438.853474</v>
      </c>
      <c r="H863" s="66">
        <v>42446.177482999999</v>
      </c>
      <c r="I863" s="9">
        <v>1608.33801294259</v>
      </c>
      <c r="J863" s="10">
        <v>1.1177913818225176</v>
      </c>
      <c r="K863" s="66">
        <v>8951.3748929222311</v>
      </c>
      <c r="L863" s="69">
        <v>51397.552375922227</v>
      </c>
      <c r="M863" s="64">
        <v>792704.81314915314</v>
      </c>
      <c r="N863" s="67">
        <v>15889.214419450947</v>
      </c>
      <c r="O863" s="64">
        <f t="shared" si="26"/>
        <v>67286.766795373172</v>
      </c>
      <c r="P863" s="64">
        <f t="shared" si="27"/>
        <v>46.764154940889533</v>
      </c>
    </row>
    <row r="864" spans="1:16" ht="15">
      <c r="A864" s="3" t="s">
        <v>1198</v>
      </c>
      <c r="B864" s="3" t="s">
        <v>1870</v>
      </c>
      <c r="C864" s="61" t="s">
        <v>3292</v>
      </c>
      <c r="D864" s="3" t="s">
        <v>3248</v>
      </c>
      <c r="E864" s="3">
        <v>1</v>
      </c>
      <c r="F864" s="3" t="s">
        <v>3224</v>
      </c>
      <c r="G864" s="9">
        <v>668.08470799999998</v>
      </c>
      <c r="H864" s="66">
        <v>19708.498885999998</v>
      </c>
      <c r="I864" s="9">
        <v>790.14108819687704</v>
      </c>
      <c r="J864" s="10">
        <v>1.1826959646513524</v>
      </c>
      <c r="K864" s="66">
        <v>6446.4429854889941</v>
      </c>
      <c r="L864" s="69">
        <v>26154.941871488991</v>
      </c>
      <c r="M864" s="64">
        <v>594835.4350034236</v>
      </c>
      <c r="N864" s="67">
        <v>11923.060910289203</v>
      </c>
      <c r="O864" s="64">
        <f t="shared" si="26"/>
        <v>38078.002781778196</v>
      </c>
      <c r="P864" s="64">
        <f t="shared" si="27"/>
        <v>56.995770634789316</v>
      </c>
    </row>
    <row r="865" spans="1:16" ht="15">
      <c r="A865" s="3" t="s">
        <v>1207</v>
      </c>
      <c r="B865" s="3" t="s">
        <v>1208</v>
      </c>
      <c r="C865" s="61" t="s">
        <v>3292</v>
      </c>
      <c r="D865" s="3" t="s">
        <v>3248</v>
      </c>
      <c r="E865" s="3">
        <v>1</v>
      </c>
      <c r="F865" s="3" t="s">
        <v>3224</v>
      </c>
      <c r="G865" s="9">
        <v>1006.963496</v>
      </c>
      <c r="H865" s="66">
        <v>29705.423132</v>
      </c>
      <c r="I865" s="9">
        <v>1175.7251734015299</v>
      </c>
      <c r="J865" s="10">
        <v>1.1675946328460847</v>
      </c>
      <c r="K865" s="66">
        <v>8913.1967517768844</v>
      </c>
      <c r="L865" s="69">
        <v>38618.619883776882</v>
      </c>
      <c r="M865" s="64">
        <v>822765.11742963246</v>
      </c>
      <c r="N865" s="67">
        <v>16491.752227098401</v>
      </c>
      <c r="O865" s="64">
        <f t="shared" si="26"/>
        <v>55110.37211087528</v>
      </c>
      <c r="P865" s="64">
        <f t="shared" si="27"/>
        <v>54.72926509232196</v>
      </c>
    </row>
    <row r="866" spans="1:16" ht="15">
      <c r="A866" s="3" t="str">
        <f>"059303"</f>
        <v>059303</v>
      </c>
      <c r="B866" s="3" t="s">
        <v>2838</v>
      </c>
      <c r="C866" s="61" t="s">
        <v>3292</v>
      </c>
      <c r="D866" s="3" t="s">
        <v>3249</v>
      </c>
      <c r="E866" s="3">
        <v>1</v>
      </c>
      <c r="F866" s="3" t="s">
        <v>3220</v>
      </c>
      <c r="G866" s="9">
        <v>387</v>
      </c>
      <c r="H866" s="66">
        <v>11416.5</v>
      </c>
      <c r="I866" s="9">
        <v>402.97319999999996</v>
      </c>
      <c r="J866" s="10">
        <v>1.041274418604651</v>
      </c>
      <c r="K866" s="66">
        <v>843.62917308969293</v>
      </c>
      <c r="L866" s="69">
        <v>12260.129173089694</v>
      </c>
      <c r="M866" s="64">
        <v>0</v>
      </c>
      <c r="N866" s="67">
        <v>0</v>
      </c>
      <c r="O866" s="64">
        <f t="shared" si="26"/>
        <v>12260.129173089694</v>
      </c>
      <c r="P866" s="64">
        <f t="shared" si="27"/>
        <v>31.679920343901017</v>
      </c>
    </row>
    <row r="867" spans="1:16" ht="15">
      <c r="A867" s="3" t="str">
        <f>"012975"</f>
        <v>012975</v>
      </c>
      <c r="B867" s="3" t="s">
        <v>3187</v>
      </c>
      <c r="C867" s="61" t="s">
        <v>3292</v>
      </c>
      <c r="D867" s="3" t="s">
        <v>3249</v>
      </c>
      <c r="E867" s="3">
        <v>1</v>
      </c>
      <c r="F867" s="3" t="s">
        <v>3220</v>
      </c>
      <c r="G867" s="9">
        <v>55</v>
      </c>
      <c r="H867" s="66">
        <v>1622.5</v>
      </c>
      <c r="I867" s="9">
        <v>55</v>
      </c>
      <c r="J867" s="10">
        <v>1</v>
      </c>
      <c r="K867" s="66">
        <v>0</v>
      </c>
      <c r="L867" s="69">
        <v>1622.5</v>
      </c>
      <c r="M867" s="64">
        <v>0</v>
      </c>
      <c r="N867" s="67">
        <v>0</v>
      </c>
      <c r="O867" s="64">
        <f t="shared" si="26"/>
        <v>1622.5</v>
      </c>
      <c r="P867" s="64">
        <f t="shared" si="27"/>
        <v>29.5</v>
      </c>
    </row>
    <row r="868" spans="1:16" ht="15">
      <c r="A868" s="3" t="str">
        <f>"060889"</f>
        <v>060889</v>
      </c>
      <c r="B868" s="3" t="s">
        <v>3129</v>
      </c>
      <c r="C868" s="61" t="s">
        <v>3292</v>
      </c>
      <c r="D868" s="3" t="s">
        <v>3249</v>
      </c>
      <c r="E868" s="3">
        <v>1</v>
      </c>
      <c r="F868" s="3" t="s">
        <v>3220</v>
      </c>
      <c r="G868" s="9">
        <v>38</v>
      </c>
      <c r="H868" s="66">
        <v>1121</v>
      </c>
      <c r="I868" s="9">
        <v>38</v>
      </c>
      <c r="J868" s="10">
        <v>1</v>
      </c>
      <c r="K868" s="66">
        <v>0</v>
      </c>
      <c r="L868" s="69">
        <v>1121</v>
      </c>
      <c r="M868" s="64">
        <v>0</v>
      </c>
      <c r="N868" s="67">
        <v>0</v>
      </c>
      <c r="O868" s="64">
        <f t="shared" si="26"/>
        <v>1121</v>
      </c>
      <c r="P868" s="64">
        <f t="shared" si="27"/>
        <v>29.5</v>
      </c>
    </row>
    <row r="869" spans="1:16" ht="15">
      <c r="A869" s="3" t="s">
        <v>1199</v>
      </c>
      <c r="B869" s="3" t="s">
        <v>1200</v>
      </c>
      <c r="C869" s="61" t="s">
        <v>3292</v>
      </c>
      <c r="D869" s="3" t="s">
        <v>3248</v>
      </c>
      <c r="E869" s="3">
        <v>1</v>
      </c>
      <c r="F869" s="3" t="s">
        <v>1904</v>
      </c>
      <c r="G869" s="9">
        <v>1059.1484809999999</v>
      </c>
      <c r="H869" s="66">
        <v>31244.8801895</v>
      </c>
      <c r="I869" s="9">
        <v>1219.91699666357</v>
      </c>
      <c r="J869" s="10">
        <v>1.1517903471964381</v>
      </c>
      <c r="K869" s="66">
        <v>8491.035605145822</v>
      </c>
      <c r="L869" s="69">
        <v>39735.915794645822</v>
      </c>
      <c r="M869" s="64">
        <v>743969.3326446272</v>
      </c>
      <c r="N869" s="67">
        <v>14912.345745606171</v>
      </c>
      <c r="O869" s="64">
        <f t="shared" si="26"/>
        <v>54648.261540251995</v>
      </c>
      <c r="P869" s="64">
        <f t="shared" si="27"/>
        <v>51.596412137281817</v>
      </c>
    </row>
    <row r="870" spans="1:16" ht="15">
      <c r="A870" s="3" t="s">
        <v>1201</v>
      </c>
      <c r="B870" s="3" t="s">
        <v>1202</v>
      </c>
      <c r="C870" s="61" t="s">
        <v>3292</v>
      </c>
      <c r="D870" s="3" t="s">
        <v>3248</v>
      </c>
      <c r="E870" s="3">
        <v>1</v>
      </c>
      <c r="F870" s="3" t="s">
        <v>3224</v>
      </c>
      <c r="G870" s="9">
        <v>176.06224700000001</v>
      </c>
      <c r="H870" s="66">
        <v>5193.8362865000008</v>
      </c>
      <c r="I870" s="9">
        <v>199.79100163175301</v>
      </c>
      <c r="J870" s="10">
        <v>1.1347748028670392</v>
      </c>
      <c r="K870" s="66">
        <v>1253.2410317553176</v>
      </c>
      <c r="L870" s="69">
        <v>6447.0773182553185</v>
      </c>
      <c r="M870" s="64">
        <v>334127.92844460532</v>
      </c>
      <c r="N870" s="67">
        <v>6697.3609980899218</v>
      </c>
      <c r="O870" s="64">
        <f t="shared" si="26"/>
        <v>13144.43831634524</v>
      </c>
      <c r="P870" s="64">
        <f t="shared" si="27"/>
        <v>74.657903896598796</v>
      </c>
    </row>
    <row r="871" spans="1:16" ht="15">
      <c r="A871" s="3" t="s">
        <v>857</v>
      </c>
      <c r="B871" s="3" t="s">
        <v>858</v>
      </c>
      <c r="C871" s="61" t="s">
        <v>3347</v>
      </c>
      <c r="D871" s="3" t="s">
        <v>3248</v>
      </c>
      <c r="E871" s="3">
        <v>1</v>
      </c>
      <c r="F871" s="3" t="s">
        <v>1904</v>
      </c>
      <c r="G871" s="9">
        <v>838.26067499999999</v>
      </c>
      <c r="H871" s="66">
        <v>24728.689912499998</v>
      </c>
      <c r="I871" s="9">
        <v>977.711413270972</v>
      </c>
      <c r="J871" s="10">
        <v>1.1663572471307593</v>
      </c>
      <c r="K871" s="66">
        <v>7365.131032873036</v>
      </c>
      <c r="L871" s="69">
        <v>32093.820945373034</v>
      </c>
      <c r="M871" s="64">
        <v>387014.10958954785</v>
      </c>
      <c r="N871" s="67">
        <v>7757.4275677624382</v>
      </c>
      <c r="O871" s="64">
        <f t="shared" si="26"/>
        <v>39851.24851313547</v>
      </c>
      <c r="P871" s="64">
        <f t="shared" si="27"/>
        <v>47.540400858164404</v>
      </c>
    </row>
    <row r="872" spans="1:16" ht="15">
      <c r="A872" s="3" t="s">
        <v>188</v>
      </c>
      <c r="B872" s="3" t="s">
        <v>189</v>
      </c>
      <c r="C872" s="61" t="s">
        <v>3347</v>
      </c>
      <c r="D872" s="3" t="s">
        <v>1684</v>
      </c>
      <c r="E872" s="3">
        <v>1</v>
      </c>
      <c r="F872" s="3" t="s">
        <v>3266</v>
      </c>
      <c r="G872" s="9">
        <v>33.499751000000003</v>
      </c>
      <c r="H872" s="66">
        <v>988.24265450000007</v>
      </c>
      <c r="I872" s="9">
        <v>49.419914032270697</v>
      </c>
      <c r="J872" s="10">
        <v>1.4752322795554718</v>
      </c>
      <c r="K872" s="66">
        <v>840.82801031525639</v>
      </c>
      <c r="L872" s="69">
        <v>1829.0706648152564</v>
      </c>
      <c r="M872" s="64">
        <v>0</v>
      </c>
      <c r="N872" s="67">
        <v>0</v>
      </c>
      <c r="O872" s="64">
        <f t="shared" si="26"/>
        <v>1829.0706648152564</v>
      </c>
      <c r="P872" s="64">
        <f t="shared" si="27"/>
        <v>54.599530152186986</v>
      </c>
    </row>
    <row r="873" spans="1:16" ht="15">
      <c r="A873" s="19">
        <v>66027</v>
      </c>
      <c r="B873" s="20" t="s">
        <v>1947</v>
      </c>
      <c r="C873" s="61" t="s">
        <v>3347</v>
      </c>
      <c r="D873" s="19" t="s">
        <v>1973</v>
      </c>
      <c r="E873" s="19">
        <v>1</v>
      </c>
      <c r="F873" s="19" t="s">
        <v>1974</v>
      </c>
      <c r="G873" s="9">
        <v>13.24</v>
      </c>
      <c r="H873" s="66">
        <v>390.58</v>
      </c>
      <c r="I873" s="9">
        <v>55.535342</v>
      </c>
      <c r="J873" s="10">
        <v>4.1945122356495466</v>
      </c>
      <c r="K873" s="66">
        <v>2233.8407079987628</v>
      </c>
      <c r="L873" s="69">
        <v>2624.4207079987627</v>
      </c>
      <c r="M873" s="64">
        <v>0</v>
      </c>
      <c r="N873" s="67">
        <v>0</v>
      </c>
      <c r="O873" s="64">
        <f t="shared" si="26"/>
        <v>2624.4207079987627</v>
      </c>
      <c r="P873" s="64">
        <f t="shared" si="27"/>
        <v>198.21908670685519</v>
      </c>
    </row>
    <row r="874" spans="1:16" ht="15">
      <c r="A874" s="3" t="s">
        <v>1203</v>
      </c>
      <c r="B874" s="3" t="s">
        <v>1204</v>
      </c>
      <c r="C874" s="61" t="s">
        <v>3347</v>
      </c>
      <c r="D874" s="3" t="s">
        <v>3248</v>
      </c>
      <c r="E874" s="3">
        <v>1</v>
      </c>
      <c r="F874" s="3" t="s">
        <v>3224</v>
      </c>
      <c r="G874" s="9">
        <v>393.97393499999998</v>
      </c>
      <c r="H874" s="66">
        <v>11622.231082499999</v>
      </c>
      <c r="I874" s="9">
        <v>450.087430939542</v>
      </c>
      <c r="J874" s="10">
        <v>1.1424294628515006</v>
      </c>
      <c r="K874" s="66">
        <v>2963.6505007542496</v>
      </c>
      <c r="L874" s="69">
        <v>14585.881583254248</v>
      </c>
      <c r="M874" s="64">
        <v>371882.39376174309</v>
      </c>
      <c r="N874" s="67">
        <v>7454.1228907452314</v>
      </c>
      <c r="O874" s="64">
        <f t="shared" si="26"/>
        <v>22040.004473999477</v>
      </c>
      <c r="P874" s="64">
        <f t="shared" si="27"/>
        <v>55.942798535642922</v>
      </c>
    </row>
    <row r="875" spans="1:16" ht="15">
      <c r="A875" s="3" t="s">
        <v>666</v>
      </c>
      <c r="B875" s="3" t="s">
        <v>667</v>
      </c>
      <c r="C875" s="61" t="s">
        <v>3347</v>
      </c>
      <c r="D875" s="3" t="s">
        <v>3248</v>
      </c>
      <c r="E875" s="3">
        <v>1</v>
      </c>
      <c r="F875" s="3" t="s">
        <v>3223</v>
      </c>
      <c r="G875" s="9">
        <v>1800.7305839999999</v>
      </c>
      <c r="H875" s="66">
        <v>53121.552228</v>
      </c>
      <c r="I875" s="9">
        <v>2377.2614112739702</v>
      </c>
      <c r="J875" s="10">
        <v>1.3201649554889607</v>
      </c>
      <c r="K875" s="66">
        <v>30449.642217830944</v>
      </c>
      <c r="L875" s="69">
        <v>83571.194445830944</v>
      </c>
      <c r="M875" s="64">
        <v>971540.40701694204</v>
      </c>
      <c r="N875" s="67">
        <v>19473.849014397561</v>
      </c>
      <c r="O875" s="64">
        <f t="shared" si="26"/>
        <v>103045.04346022851</v>
      </c>
      <c r="P875" s="64">
        <f t="shared" si="27"/>
        <v>57.224020281441788</v>
      </c>
    </row>
    <row r="876" spans="1:16" ht="15">
      <c r="A876" s="3" t="s">
        <v>1205</v>
      </c>
      <c r="B876" s="3" t="s">
        <v>1206</v>
      </c>
      <c r="C876" s="61" t="s">
        <v>3347</v>
      </c>
      <c r="D876" s="3" t="s">
        <v>3248</v>
      </c>
      <c r="E876" s="3">
        <v>1</v>
      </c>
      <c r="F876" s="3" t="s">
        <v>3224</v>
      </c>
      <c r="G876" s="9">
        <v>511.20051899999999</v>
      </c>
      <c r="H876" s="66">
        <v>15080.4153105</v>
      </c>
      <c r="I876" s="9">
        <v>601.80839901193701</v>
      </c>
      <c r="J876" s="10">
        <v>1.1772452817324643</v>
      </c>
      <c r="K876" s="66">
        <v>4785.4813618987255</v>
      </c>
      <c r="L876" s="69">
        <v>19865.896672398725</v>
      </c>
      <c r="M876" s="64">
        <v>620506.76472643134</v>
      </c>
      <c r="N876" s="67">
        <v>12437.624787832541</v>
      </c>
      <c r="O876" s="64">
        <f t="shared" si="26"/>
        <v>32303.521460231266</v>
      </c>
      <c r="P876" s="64">
        <f t="shared" si="27"/>
        <v>63.191487996574722</v>
      </c>
    </row>
    <row r="877" spans="1:16" ht="15">
      <c r="A877" s="3" t="s">
        <v>1209</v>
      </c>
      <c r="B877" s="3" t="s">
        <v>1210</v>
      </c>
      <c r="C877" s="61" t="s">
        <v>3347</v>
      </c>
      <c r="D877" s="3" t="s">
        <v>3248</v>
      </c>
      <c r="E877" s="3">
        <v>1</v>
      </c>
      <c r="F877" s="3" t="s">
        <v>3224</v>
      </c>
      <c r="G877" s="9">
        <v>410.05331899999999</v>
      </c>
      <c r="H877" s="66">
        <v>12096.572910499999</v>
      </c>
      <c r="I877" s="9">
        <v>519.08483694947904</v>
      </c>
      <c r="J877" s="10">
        <v>1.2658959527882252</v>
      </c>
      <c r="K877" s="66">
        <v>5758.5311226575286</v>
      </c>
      <c r="L877" s="69">
        <v>17855.104033157528</v>
      </c>
      <c r="M877" s="64">
        <v>538859.54679495632</v>
      </c>
      <c r="N877" s="67">
        <v>10801.063320126719</v>
      </c>
      <c r="O877" s="64">
        <f t="shared" si="26"/>
        <v>28656.167353284247</v>
      </c>
      <c r="P877" s="64">
        <f t="shared" si="27"/>
        <v>69.884002946661298</v>
      </c>
    </row>
    <row r="878" spans="1:16" ht="15">
      <c r="A878" s="3" t="s">
        <v>1211</v>
      </c>
      <c r="B878" s="3" t="s">
        <v>1212</v>
      </c>
      <c r="C878" s="61" t="s">
        <v>3358</v>
      </c>
      <c r="D878" s="3" t="s">
        <v>3248</v>
      </c>
      <c r="E878" s="3">
        <v>1</v>
      </c>
      <c r="F878" s="3" t="s">
        <v>3223</v>
      </c>
      <c r="G878" s="9">
        <v>402.26319100000001</v>
      </c>
      <c r="H878" s="66">
        <v>11866.764134500001</v>
      </c>
      <c r="I878" s="9">
        <v>473.73259882348998</v>
      </c>
      <c r="J878" s="10">
        <v>1.1776682764481177</v>
      </c>
      <c r="K878" s="66">
        <v>3774.6774236434162</v>
      </c>
      <c r="L878" s="69">
        <v>15641.441558143417</v>
      </c>
      <c r="M878" s="64">
        <v>477435.56779963995</v>
      </c>
      <c r="N878" s="67">
        <v>9569.8625546422845</v>
      </c>
      <c r="O878" s="64">
        <f t="shared" si="26"/>
        <v>25211.3041127857</v>
      </c>
      <c r="P878" s="64">
        <f t="shared" si="27"/>
        <v>62.673654156901719</v>
      </c>
    </row>
    <row r="879" spans="1:16" ht="15">
      <c r="A879" s="3" t="s">
        <v>869</v>
      </c>
      <c r="B879" s="3" t="s">
        <v>870</v>
      </c>
      <c r="C879" s="61" t="s">
        <v>3358</v>
      </c>
      <c r="D879" s="3" t="s">
        <v>3248</v>
      </c>
      <c r="E879" s="3">
        <v>1</v>
      </c>
      <c r="F879" s="3" t="s">
        <v>3223</v>
      </c>
      <c r="G879" s="9">
        <v>1476.2130110000001</v>
      </c>
      <c r="H879" s="66">
        <v>43548.283824500002</v>
      </c>
      <c r="I879" s="9">
        <v>1813.2385418510501</v>
      </c>
      <c r="J879" s="10">
        <v>1.228304132492875</v>
      </c>
      <c r="K879" s="66">
        <v>17800.100787693558</v>
      </c>
      <c r="L879" s="69">
        <v>61348.384612193564</v>
      </c>
      <c r="M879" s="64">
        <v>2610640.2323247506</v>
      </c>
      <c r="N879" s="67">
        <v>52328.46039960684</v>
      </c>
      <c r="O879" s="64">
        <f t="shared" si="26"/>
        <v>113676.84501180041</v>
      </c>
      <c r="P879" s="64">
        <f t="shared" si="27"/>
        <v>77.005719475941135</v>
      </c>
    </row>
    <row r="880" spans="1:16" ht="15">
      <c r="A880" s="3" t="s">
        <v>199</v>
      </c>
      <c r="B880" s="3" t="s">
        <v>200</v>
      </c>
      <c r="C880" s="61" t="s">
        <v>3358</v>
      </c>
      <c r="D880" s="3" t="s">
        <v>1684</v>
      </c>
      <c r="E880" s="3">
        <v>1</v>
      </c>
      <c r="F880" s="3" t="s">
        <v>3266</v>
      </c>
      <c r="G880" s="9">
        <v>66.059348999999997</v>
      </c>
      <c r="H880" s="66">
        <v>1948.7507954999999</v>
      </c>
      <c r="I880" s="9">
        <v>87.820413746701803</v>
      </c>
      <c r="J880" s="10">
        <v>1.3294168815787422</v>
      </c>
      <c r="K880" s="66">
        <v>1149.3169219574884</v>
      </c>
      <c r="L880" s="69">
        <v>3098.0677174574885</v>
      </c>
      <c r="M880" s="64">
        <v>0</v>
      </c>
      <c r="N880" s="67">
        <v>0</v>
      </c>
      <c r="O880" s="64">
        <f t="shared" si="26"/>
        <v>3098.0677174574885</v>
      </c>
      <c r="P880" s="64">
        <f t="shared" si="27"/>
        <v>46.898247778031973</v>
      </c>
    </row>
    <row r="881" spans="1:16" ht="15">
      <c r="A881" s="3" t="s">
        <v>470</v>
      </c>
      <c r="B881" s="3" t="s">
        <v>471</v>
      </c>
      <c r="C881" s="61" t="s">
        <v>3342</v>
      </c>
      <c r="D881" s="3" t="s">
        <v>456</v>
      </c>
      <c r="E881" s="3">
        <v>1</v>
      </c>
      <c r="F881" s="3" t="s">
        <v>1897</v>
      </c>
      <c r="G881" s="9">
        <v>939.60649599999999</v>
      </c>
      <c r="H881" s="66">
        <v>27718.391631999999</v>
      </c>
      <c r="I881" s="9">
        <v>1291.8505493462301</v>
      </c>
      <c r="J881" s="10">
        <v>1.3748846510169617</v>
      </c>
      <c r="K881" s="66">
        <v>18603.871450319439</v>
      </c>
      <c r="L881" s="69">
        <v>46322.263082319434</v>
      </c>
      <c r="M881" s="64">
        <v>0</v>
      </c>
      <c r="N881" s="67">
        <v>0</v>
      </c>
      <c r="O881" s="64">
        <f t="shared" si="26"/>
        <v>46322.263082319434</v>
      </c>
      <c r="P881" s="64">
        <f t="shared" si="27"/>
        <v>49.299641157780407</v>
      </c>
    </row>
    <row r="882" spans="1:16" ht="15">
      <c r="A882" s="3" t="s">
        <v>1213</v>
      </c>
      <c r="B882" s="3" t="s">
        <v>1214</v>
      </c>
      <c r="C882" s="61" t="s">
        <v>3342</v>
      </c>
      <c r="D882" s="3" t="s">
        <v>3248</v>
      </c>
      <c r="E882" s="3">
        <v>1</v>
      </c>
      <c r="F882" s="3" t="s">
        <v>3224</v>
      </c>
      <c r="G882" s="9">
        <v>426.98170699999997</v>
      </c>
      <c r="H882" s="66">
        <v>12595.9603565</v>
      </c>
      <c r="I882" s="9">
        <v>510.67412245098899</v>
      </c>
      <c r="J882" s="10">
        <v>1.1960093701414449</v>
      </c>
      <c r="K882" s="66">
        <v>4420.2391030474209</v>
      </c>
      <c r="L882" s="69">
        <v>17016.199459547421</v>
      </c>
      <c r="M882" s="64">
        <v>356694.01704799634</v>
      </c>
      <c r="N882" s="67">
        <v>7149.682485836639</v>
      </c>
      <c r="O882" s="64">
        <f t="shared" si="26"/>
        <v>24165.881945384059</v>
      </c>
      <c r="P882" s="64">
        <f t="shared" si="27"/>
        <v>56.596995958386714</v>
      </c>
    </row>
    <row r="883" spans="1:16" ht="15">
      <c r="A883" s="3" t="s">
        <v>1215</v>
      </c>
      <c r="B883" s="3" t="s">
        <v>1216</v>
      </c>
      <c r="C883" s="61" t="s">
        <v>3342</v>
      </c>
      <c r="D883" s="3" t="s">
        <v>3248</v>
      </c>
      <c r="E883" s="3">
        <v>1</v>
      </c>
      <c r="F883" s="3" t="s">
        <v>3224</v>
      </c>
      <c r="G883" s="9">
        <v>1019.562175</v>
      </c>
      <c r="H883" s="66">
        <v>30077.084162499999</v>
      </c>
      <c r="I883" s="9">
        <v>1254.62167039887</v>
      </c>
      <c r="J883" s="10">
        <v>1.2305494467749061</v>
      </c>
      <c r="K883" s="66">
        <v>12414.735164539956</v>
      </c>
      <c r="L883" s="69">
        <v>42491.819327039957</v>
      </c>
      <c r="M883" s="64">
        <v>613163.25143993867</v>
      </c>
      <c r="N883" s="67">
        <v>12290.429192113084</v>
      </c>
      <c r="O883" s="64">
        <f t="shared" si="26"/>
        <v>54782.248519153043</v>
      </c>
      <c r="P883" s="64">
        <f t="shared" si="27"/>
        <v>53.731150352996416</v>
      </c>
    </row>
    <row r="884" spans="1:16" ht="15">
      <c r="A884" s="3" t="s">
        <v>716</v>
      </c>
      <c r="B884" s="3" t="s">
        <v>717</v>
      </c>
      <c r="C884" s="61" t="s">
        <v>3342</v>
      </c>
      <c r="D884" s="3" t="s">
        <v>3248</v>
      </c>
      <c r="E884" s="3">
        <v>1</v>
      </c>
      <c r="F884" s="3" t="s">
        <v>1905</v>
      </c>
      <c r="G884" s="9">
        <v>1920.3915919999999</v>
      </c>
      <c r="H884" s="66">
        <v>56651.551963999998</v>
      </c>
      <c r="I884" s="9">
        <v>2321.87023845161</v>
      </c>
      <c r="J884" s="10">
        <v>1.2090608228676363</v>
      </c>
      <c r="K884" s="66">
        <v>21204.210710386255</v>
      </c>
      <c r="L884" s="69">
        <v>77855.762674386249</v>
      </c>
      <c r="M884" s="64">
        <v>1160686.0081658284</v>
      </c>
      <c r="N884" s="67">
        <v>23265.140505629013</v>
      </c>
      <c r="O884" s="64">
        <f t="shared" si="26"/>
        <v>101120.90318001526</v>
      </c>
      <c r="P884" s="64">
        <f t="shared" si="27"/>
        <v>52.656397581236263</v>
      </c>
    </row>
    <row r="885" spans="1:16" ht="15">
      <c r="A885" s="3" t="s">
        <v>1217</v>
      </c>
      <c r="B885" s="3" t="s">
        <v>1218</v>
      </c>
      <c r="C885" s="61" t="s">
        <v>3342</v>
      </c>
      <c r="D885" s="3" t="s">
        <v>3248</v>
      </c>
      <c r="E885" s="3">
        <v>1</v>
      </c>
      <c r="F885" s="3" t="s">
        <v>3224</v>
      </c>
      <c r="G885" s="9">
        <v>826.33294799999999</v>
      </c>
      <c r="H885" s="66">
        <v>24376.821966</v>
      </c>
      <c r="I885" s="9">
        <v>953.73548784821605</v>
      </c>
      <c r="J885" s="10">
        <v>1.1541782161253191</v>
      </c>
      <c r="K885" s="66">
        <v>6728.801952124646</v>
      </c>
      <c r="L885" s="69">
        <v>31105.623918124646</v>
      </c>
      <c r="M885" s="64">
        <v>999549.93824522418</v>
      </c>
      <c r="N885" s="67">
        <v>20035.280508305677</v>
      </c>
      <c r="O885" s="64">
        <f t="shared" si="26"/>
        <v>51140.904426430323</v>
      </c>
      <c r="P885" s="64">
        <f t="shared" si="27"/>
        <v>61.888981372712159</v>
      </c>
    </row>
    <row r="886" spans="1:16" ht="15">
      <c r="A886" s="3" t="str">
        <f>"058834"</f>
        <v>058834</v>
      </c>
      <c r="B886" s="3" t="s">
        <v>2681</v>
      </c>
      <c r="C886" s="61" t="s">
        <v>3342</v>
      </c>
      <c r="D886" s="3" t="s">
        <v>3249</v>
      </c>
      <c r="E886" s="3">
        <v>1</v>
      </c>
      <c r="F886" s="3" t="s">
        <v>3220</v>
      </c>
      <c r="G886" s="9">
        <v>42</v>
      </c>
      <c r="H886" s="66">
        <v>1239</v>
      </c>
      <c r="I886" s="9">
        <v>46.049599999999998</v>
      </c>
      <c r="J886" s="10">
        <v>1.0964190476190476</v>
      </c>
      <c r="K886" s="66">
        <v>213.88079403901702</v>
      </c>
      <c r="L886" s="69">
        <v>1452.880794039017</v>
      </c>
      <c r="M886" s="64">
        <v>0</v>
      </c>
      <c r="N886" s="67">
        <v>0</v>
      </c>
      <c r="O886" s="64">
        <f t="shared" si="26"/>
        <v>1452.880794039017</v>
      </c>
      <c r="P886" s="64">
        <f t="shared" si="27"/>
        <v>34.592399858071836</v>
      </c>
    </row>
    <row r="887" spans="1:16" ht="15">
      <c r="A887" s="3" t="str">
        <f>"060434"</f>
        <v>060434</v>
      </c>
      <c r="B887" s="3" t="s">
        <v>2619</v>
      </c>
      <c r="C887" s="61" t="s">
        <v>3342</v>
      </c>
      <c r="D887" s="3" t="s">
        <v>3249</v>
      </c>
      <c r="E887" s="3">
        <v>1</v>
      </c>
      <c r="F887" s="3" t="s">
        <v>3220</v>
      </c>
      <c r="G887" s="9">
        <v>35</v>
      </c>
      <c r="H887" s="66">
        <v>1032.5</v>
      </c>
      <c r="I887" s="9">
        <v>36.574800000000003</v>
      </c>
      <c r="J887" s="10">
        <v>1.0449942857142858</v>
      </c>
      <c r="K887" s="66">
        <v>83.173517002332289</v>
      </c>
      <c r="L887" s="69">
        <v>1115.6735170023323</v>
      </c>
      <c r="M887" s="64">
        <v>0</v>
      </c>
      <c r="N887" s="67">
        <v>0</v>
      </c>
      <c r="O887" s="64">
        <f t="shared" si="26"/>
        <v>1115.6735170023323</v>
      </c>
      <c r="P887" s="64">
        <f t="shared" si="27"/>
        <v>31.876386200066637</v>
      </c>
    </row>
    <row r="888" spans="1:16" ht="15">
      <c r="A888" s="3" t="str">
        <f>"060491"</f>
        <v>060491</v>
      </c>
      <c r="B888" s="3" t="s">
        <v>2590</v>
      </c>
      <c r="C888" s="61" t="s">
        <v>3342</v>
      </c>
      <c r="D888" s="3" t="s">
        <v>3249</v>
      </c>
      <c r="E888" s="3">
        <v>1</v>
      </c>
      <c r="F888" s="3" t="s">
        <v>3220</v>
      </c>
      <c r="G888" s="9">
        <v>157</v>
      </c>
      <c r="H888" s="66">
        <v>4631.5</v>
      </c>
      <c r="I888" s="9">
        <v>166.374</v>
      </c>
      <c r="J888" s="10">
        <v>1.0597070063694267</v>
      </c>
      <c r="K888" s="66">
        <v>495.09051840224845</v>
      </c>
      <c r="L888" s="69">
        <v>5126.5905184022486</v>
      </c>
      <c r="M888" s="64">
        <v>0</v>
      </c>
      <c r="N888" s="67">
        <v>0</v>
      </c>
      <c r="O888" s="64">
        <f t="shared" si="26"/>
        <v>5126.5905184022486</v>
      </c>
      <c r="P888" s="64">
        <f t="shared" si="27"/>
        <v>32.65344279237101</v>
      </c>
    </row>
    <row r="889" spans="1:16" ht="15">
      <c r="A889" s="3" t="s">
        <v>1219</v>
      </c>
      <c r="B889" s="3" t="s">
        <v>1220</v>
      </c>
      <c r="C889" s="61" t="s">
        <v>3330</v>
      </c>
      <c r="D889" s="3" t="s">
        <v>3248</v>
      </c>
      <c r="E889" s="3">
        <v>1</v>
      </c>
      <c r="F889" s="3" t="s">
        <v>3224</v>
      </c>
      <c r="G889" s="9">
        <v>713.91481199999998</v>
      </c>
      <c r="H889" s="66">
        <v>21060.486954</v>
      </c>
      <c r="I889" s="9">
        <v>894.59931096855303</v>
      </c>
      <c r="J889" s="10">
        <v>1.2530897187332108</v>
      </c>
      <c r="K889" s="66">
        <v>9542.9040176649778</v>
      </c>
      <c r="L889" s="69">
        <v>30603.39097166498</v>
      </c>
      <c r="M889" s="64">
        <v>1575149.6800780022</v>
      </c>
      <c r="N889" s="67">
        <v>31572.775381622116</v>
      </c>
      <c r="O889" s="64">
        <f t="shared" si="26"/>
        <v>62176.166353287095</v>
      </c>
      <c r="P889" s="64">
        <f t="shared" si="27"/>
        <v>87.091856490697239</v>
      </c>
    </row>
    <row r="890" spans="1:16" ht="15">
      <c r="A890" s="3" t="s">
        <v>1221</v>
      </c>
      <c r="B890" s="3" t="s">
        <v>1222</v>
      </c>
      <c r="C890" s="61" t="s">
        <v>3330</v>
      </c>
      <c r="D890" s="3" t="s">
        <v>3248</v>
      </c>
      <c r="E890" s="3">
        <v>1</v>
      </c>
      <c r="F890" s="3" t="s">
        <v>3223</v>
      </c>
      <c r="G890" s="9">
        <v>901.30064400000003</v>
      </c>
      <c r="H890" s="66">
        <v>26588.368998000002</v>
      </c>
      <c r="I890" s="9">
        <v>1057.2575183382401</v>
      </c>
      <c r="J890" s="10">
        <v>1.1730353521618475</v>
      </c>
      <c r="K890" s="66">
        <v>8236.9073783351414</v>
      </c>
      <c r="L890" s="69">
        <v>34825.27637633514</v>
      </c>
      <c r="M890" s="64">
        <v>721948.90693405957</v>
      </c>
      <c r="N890" s="67">
        <v>14470.961689499823</v>
      </c>
      <c r="O890" s="64">
        <f t="shared" si="26"/>
        <v>49296.238065834965</v>
      </c>
      <c r="P890" s="64">
        <f t="shared" si="27"/>
        <v>54.694555467148831</v>
      </c>
    </row>
    <row r="891" spans="1:16" ht="15">
      <c r="A891" s="3" t="s">
        <v>900</v>
      </c>
      <c r="B891" s="3" t="s">
        <v>901</v>
      </c>
      <c r="C891" s="61" t="s">
        <v>3330</v>
      </c>
      <c r="D891" s="3" t="s">
        <v>3248</v>
      </c>
      <c r="E891" s="3">
        <v>1</v>
      </c>
      <c r="F891" s="3" t="s">
        <v>3223</v>
      </c>
      <c r="G891" s="9">
        <v>1910.0241980000001</v>
      </c>
      <c r="H891" s="66">
        <v>56345.713841000004</v>
      </c>
      <c r="I891" s="9">
        <v>2338.3582650507201</v>
      </c>
      <c r="J891" s="10">
        <v>1.2242558327267432</v>
      </c>
      <c r="K891" s="66">
        <v>22622.587508585933</v>
      </c>
      <c r="L891" s="69">
        <v>78968.301349585934</v>
      </c>
      <c r="M891" s="64">
        <v>1772841.6481900562</v>
      </c>
      <c r="N891" s="67">
        <v>35535.372830547472</v>
      </c>
      <c r="O891" s="64">
        <f t="shared" si="26"/>
        <v>114503.67418013341</v>
      </c>
      <c r="P891" s="64">
        <f t="shared" si="27"/>
        <v>59.948808135536204</v>
      </c>
    </row>
    <row r="892" spans="1:16" ht="15">
      <c r="A892" s="3" t="str">
        <f>"011492"</f>
        <v>011492</v>
      </c>
      <c r="B892" s="3" t="s">
        <v>2888</v>
      </c>
      <c r="C892" s="61" t="s">
        <v>3330</v>
      </c>
      <c r="D892" s="3" t="s">
        <v>3249</v>
      </c>
      <c r="E892" s="3">
        <v>1</v>
      </c>
      <c r="F892" s="3" t="s">
        <v>3220</v>
      </c>
      <c r="G892" s="9">
        <v>178</v>
      </c>
      <c r="H892" s="66">
        <v>5251</v>
      </c>
      <c r="I892" s="9">
        <v>200.85939999999999</v>
      </c>
      <c r="J892" s="10">
        <v>1.1284235955056179</v>
      </c>
      <c r="K892" s="66">
        <v>1207.3258156992065</v>
      </c>
      <c r="L892" s="69">
        <v>6458.3258156992069</v>
      </c>
      <c r="M892" s="64">
        <v>0</v>
      </c>
      <c r="N892" s="67">
        <v>0</v>
      </c>
      <c r="O892" s="64">
        <f t="shared" si="26"/>
        <v>6458.3258156992069</v>
      </c>
      <c r="P892" s="64">
        <f t="shared" si="27"/>
        <v>36.282729301680938</v>
      </c>
    </row>
    <row r="893" spans="1:16" ht="15">
      <c r="A893" s="3" t="s">
        <v>658</v>
      </c>
      <c r="B893" s="3" t="s">
        <v>659</v>
      </c>
      <c r="C893" s="61" t="s">
        <v>3330</v>
      </c>
      <c r="D893" s="3" t="s">
        <v>3248</v>
      </c>
      <c r="E893" s="3">
        <v>1</v>
      </c>
      <c r="F893" s="3" t="s">
        <v>1905</v>
      </c>
      <c r="G893" s="9">
        <v>2311.6536169999999</v>
      </c>
      <c r="H893" s="66">
        <v>68193.781701500004</v>
      </c>
      <c r="I893" s="9">
        <v>2915.74407049922</v>
      </c>
      <c r="J893" s="10">
        <v>1.2613239496855035</v>
      </c>
      <c r="K893" s="66">
        <v>31905.211839639254</v>
      </c>
      <c r="L893" s="69">
        <v>100098.99354113927</v>
      </c>
      <c r="M893" s="64">
        <v>2217057.277934487</v>
      </c>
      <c r="N893" s="67">
        <v>44439.364924957314</v>
      </c>
      <c r="O893" s="64">
        <f t="shared" si="26"/>
        <v>144538.35846609657</v>
      </c>
      <c r="P893" s="64">
        <f t="shared" si="27"/>
        <v>62.52595864845636</v>
      </c>
    </row>
    <row r="894" spans="1:16" ht="15">
      <c r="A894" s="3" t="s">
        <v>1223</v>
      </c>
      <c r="B894" s="3" t="s">
        <v>1224</v>
      </c>
      <c r="C894" s="61" t="s">
        <v>3330</v>
      </c>
      <c r="D894" s="3" t="s">
        <v>3248</v>
      </c>
      <c r="E894" s="3">
        <v>1</v>
      </c>
      <c r="F894" s="3" t="s">
        <v>3224</v>
      </c>
      <c r="G894" s="9">
        <v>1116.7183050000001</v>
      </c>
      <c r="H894" s="66">
        <v>32943.189997500005</v>
      </c>
      <c r="I894" s="9">
        <v>1392.28437768105</v>
      </c>
      <c r="J894" s="10">
        <v>1.246764176289785</v>
      </c>
      <c r="K894" s="66">
        <v>14554.101747144525</v>
      </c>
      <c r="L894" s="69">
        <v>47497.291744644528</v>
      </c>
      <c r="M894" s="64">
        <v>1860092.6897037353</v>
      </c>
      <c r="N894" s="67">
        <v>37284.259028707107</v>
      </c>
      <c r="O894" s="64">
        <f t="shared" si="26"/>
        <v>84781.550773351628</v>
      </c>
      <c r="P894" s="64">
        <f t="shared" si="27"/>
        <v>75.920266009565964</v>
      </c>
    </row>
    <row r="895" spans="1:16" ht="15">
      <c r="A895" s="3" t="str">
        <f>"133132"</f>
        <v>133132</v>
      </c>
      <c r="B895" s="3" t="s">
        <v>2661</v>
      </c>
      <c r="C895" s="61" t="s">
        <v>3330</v>
      </c>
      <c r="D895" s="3" t="s">
        <v>3249</v>
      </c>
      <c r="E895" s="3">
        <v>1</v>
      </c>
      <c r="F895" s="3" t="s">
        <v>3220</v>
      </c>
      <c r="G895" s="9">
        <v>33</v>
      </c>
      <c r="H895" s="66">
        <v>973.5</v>
      </c>
      <c r="I895" s="9">
        <v>35.674800000000005</v>
      </c>
      <c r="J895" s="10">
        <v>1.0810545454545455</v>
      </c>
      <c r="K895" s="66">
        <v>141.270334822097</v>
      </c>
      <c r="L895" s="69">
        <v>1114.7703348220971</v>
      </c>
      <c r="M895" s="64">
        <v>0</v>
      </c>
      <c r="N895" s="67">
        <v>0</v>
      </c>
      <c r="O895" s="64">
        <f t="shared" si="26"/>
        <v>1114.7703348220971</v>
      </c>
      <c r="P895" s="64">
        <f t="shared" si="27"/>
        <v>33.780919237033245</v>
      </c>
    </row>
    <row r="896" spans="1:16" ht="15">
      <c r="A896" s="3" t="str">
        <f>"134304"</f>
        <v>134304</v>
      </c>
      <c r="B896" s="3" t="s">
        <v>2675</v>
      </c>
      <c r="C896" s="61" t="s">
        <v>3300</v>
      </c>
      <c r="D896" s="3" t="s">
        <v>3249</v>
      </c>
      <c r="E896" s="3">
        <v>1</v>
      </c>
      <c r="F896" s="3" t="s">
        <v>3220</v>
      </c>
      <c r="G896" s="9">
        <v>69</v>
      </c>
      <c r="H896" s="66">
        <v>2035.5</v>
      </c>
      <c r="I896" s="9">
        <v>71.949600000000004</v>
      </c>
      <c r="J896" s="10">
        <v>1.0427478260869565</v>
      </c>
      <c r="K896" s="66">
        <v>155.78397621925271</v>
      </c>
      <c r="L896" s="69">
        <v>2191.2839762192525</v>
      </c>
      <c r="M896" s="64">
        <v>0</v>
      </c>
      <c r="N896" s="67">
        <v>0</v>
      </c>
      <c r="O896" s="64">
        <f t="shared" si="26"/>
        <v>2191.2839762192525</v>
      </c>
      <c r="P896" s="64">
        <f t="shared" si="27"/>
        <v>31.75773878578627</v>
      </c>
    </row>
    <row r="897" spans="1:16" ht="15">
      <c r="A897" s="3" t="s">
        <v>679</v>
      </c>
      <c r="B897" s="3" t="s">
        <v>680</v>
      </c>
      <c r="C897" s="61" t="s">
        <v>3300</v>
      </c>
      <c r="D897" s="3" t="s">
        <v>3248</v>
      </c>
      <c r="E897" s="3">
        <v>1</v>
      </c>
      <c r="F897" s="3" t="s">
        <v>3223</v>
      </c>
      <c r="G897" s="9">
        <v>3758.165352</v>
      </c>
      <c r="H897" s="66">
        <v>110865.877884</v>
      </c>
      <c r="I897" s="9">
        <v>5598.1748342985402</v>
      </c>
      <c r="J897" s="10">
        <v>1.4896031201286377</v>
      </c>
      <c r="K897" s="66">
        <v>97180.632436125205</v>
      </c>
      <c r="L897" s="69">
        <v>208046.51032012521</v>
      </c>
      <c r="M897" s="64">
        <v>4502954.6951667294</v>
      </c>
      <c r="N897" s="67">
        <v>90258.582369822456</v>
      </c>
      <c r="O897" s="64">
        <f t="shared" si="26"/>
        <v>298305.09268994769</v>
      </c>
      <c r="P897" s="64">
        <f t="shared" si="27"/>
        <v>79.375191017392922</v>
      </c>
    </row>
    <row r="898" spans="1:16" ht="15">
      <c r="A898" s="3" t="str">
        <f>"057919"</f>
        <v>057919</v>
      </c>
      <c r="B898" s="3" t="s">
        <v>2660</v>
      </c>
      <c r="C898" s="61" t="s">
        <v>3300</v>
      </c>
      <c r="D898" s="3" t="s">
        <v>3249</v>
      </c>
      <c r="E898" s="3">
        <v>1</v>
      </c>
      <c r="F898" s="3" t="s">
        <v>3220</v>
      </c>
      <c r="G898" s="9">
        <v>62</v>
      </c>
      <c r="H898" s="66">
        <v>1829</v>
      </c>
      <c r="I898" s="9">
        <v>65.074799999999996</v>
      </c>
      <c r="J898" s="10">
        <v>1.0495935483870966</v>
      </c>
      <c r="K898" s="66">
        <v>162.39645039292006</v>
      </c>
      <c r="L898" s="69">
        <v>1991.3964503929201</v>
      </c>
      <c r="M898" s="64">
        <v>0</v>
      </c>
      <c r="N898" s="67">
        <v>0</v>
      </c>
      <c r="O898" s="64">
        <f t="shared" si="26"/>
        <v>1991.3964503929201</v>
      </c>
      <c r="P898" s="64">
        <f t="shared" si="27"/>
        <v>32.119297586982583</v>
      </c>
    </row>
    <row r="899" spans="1:16" ht="15">
      <c r="A899" s="3" t="s">
        <v>1225</v>
      </c>
      <c r="B899" s="3" t="s">
        <v>1871</v>
      </c>
      <c r="C899" s="61" t="s">
        <v>3335</v>
      </c>
      <c r="D899" s="3" t="s">
        <v>3248</v>
      </c>
      <c r="E899" s="3">
        <v>1</v>
      </c>
      <c r="F899" s="3" t="s">
        <v>3223</v>
      </c>
      <c r="G899" s="9">
        <v>1586.4534880000001</v>
      </c>
      <c r="H899" s="66">
        <v>46800.377896000005</v>
      </c>
      <c r="I899" s="9">
        <v>1852.1034712549499</v>
      </c>
      <c r="J899" s="10">
        <v>1.1674489578574709</v>
      </c>
      <c r="K899" s="66">
        <v>14030.380619078494</v>
      </c>
      <c r="L899" s="69">
        <v>60830.758515078502</v>
      </c>
      <c r="M899" s="64">
        <v>1915439.0711829611</v>
      </c>
      <c r="N899" s="67">
        <v>38393.638596077886</v>
      </c>
      <c r="O899" s="64">
        <f t="shared" ref="O899:O962" si="28">(N899+L899)</f>
        <v>99224.397111156388</v>
      </c>
      <c r="P899" s="64">
        <f t="shared" ref="P899:P962" si="29">O899/G899</f>
        <v>62.54478802038247</v>
      </c>
    </row>
    <row r="900" spans="1:16" ht="15">
      <c r="A900" s="19">
        <v>66043</v>
      </c>
      <c r="B900" s="20" t="s">
        <v>1946</v>
      </c>
      <c r="C900" s="61" t="s">
        <v>3335</v>
      </c>
      <c r="D900" s="19" t="s">
        <v>1973</v>
      </c>
      <c r="E900" s="19">
        <v>1</v>
      </c>
      <c r="F900" s="19" t="s">
        <v>1974</v>
      </c>
      <c r="G900" s="9">
        <v>36.31</v>
      </c>
      <c r="H900" s="66">
        <v>1071.145</v>
      </c>
      <c r="I900" s="9">
        <v>156.299182</v>
      </c>
      <c r="J900" s="10">
        <v>4.3045767557146792</v>
      </c>
      <c r="K900" s="66">
        <v>6337.2633154514369</v>
      </c>
      <c r="L900" s="69">
        <v>7408.4083154514374</v>
      </c>
      <c r="M900" s="64">
        <v>0</v>
      </c>
      <c r="N900" s="67">
        <v>0</v>
      </c>
      <c r="O900" s="64">
        <f t="shared" si="28"/>
        <v>7408.4083154514374</v>
      </c>
      <c r="P900" s="64">
        <f t="shared" si="29"/>
        <v>204.03217613471321</v>
      </c>
    </row>
    <row r="901" spans="1:16" ht="15">
      <c r="A901" s="3" t="s">
        <v>1226</v>
      </c>
      <c r="B901" s="3" t="s">
        <v>1227</v>
      </c>
      <c r="C901" s="61" t="s">
        <v>3335</v>
      </c>
      <c r="D901" s="3" t="s">
        <v>3248</v>
      </c>
      <c r="E901" s="3">
        <v>1</v>
      </c>
      <c r="F901" s="3" t="s">
        <v>3223</v>
      </c>
      <c r="G901" s="9">
        <v>2082.9049829999999</v>
      </c>
      <c r="H901" s="66">
        <v>61445.696998499996</v>
      </c>
      <c r="I901" s="9">
        <v>2463.4614253048499</v>
      </c>
      <c r="J901" s="10">
        <v>1.182704657874857</v>
      </c>
      <c r="K901" s="66">
        <v>20099.198453384211</v>
      </c>
      <c r="L901" s="69">
        <v>81544.895451884207</v>
      </c>
      <c r="M901" s="64">
        <v>2687379.1902417475</v>
      </c>
      <c r="N901" s="67">
        <v>53866.639222849291</v>
      </c>
      <c r="O901" s="64">
        <f t="shared" si="28"/>
        <v>135411.5346747335</v>
      </c>
      <c r="P901" s="64">
        <f t="shared" si="29"/>
        <v>65.010903416103403</v>
      </c>
    </row>
    <row r="902" spans="1:16" ht="15">
      <c r="A902" s="3" t="s">
        <v>566</v>
      </c>
      <c r="B902" s="3" t="s">
        <v>567</v>
      </c>
      <c r="C902" s="61" t="s">
        <v>3318</v>
      </c>
      <c r="D902" s="3" t="s">
        <v>3248</v>
      </c>
      <c r="E902" s="3">
        <v>1</v>
      </c>
      <c r="F902" s="3" t="s">
        <v>3223</v>
      </c>
      <c r="G902" s="9">
        <v>1907.6104809999999</v>
      </c>
      <c r="H902" s="66">
        <v>56274.509189500001</v>
      </c>
      <c r="I902" s="9">
        <v>2296.18126670526</v>
      </c>
      <c r="J902" s="10">
        <v>1.203695036054512</v>
      </c>
      <c r="K902" s="66">
        <v>20522.478315637538</v>
      </c>
      <c r="L902" s="69">
        <v>76796.987505137542</v>
      </c>
      <c r="M902" s="64">
        <v>1367901.8551779094</v>
      </c>
      <c r="N902" s="67">
        <v>27418.637456408334</v>
      </c>
      <c r="O902" s="64">
        <f t="shared" si="28"/>
        <v>104215.62496154588</v>
      </c>
      <c r="P902" s="64">
        <f t="shared" si="29"/>
        <v>54.631501556289614</v>
      </c>
    </row>
    <row r="903" spans="1:16" ht="15">
      <c r="A903" s="3" t="str">
        <f>"060582"</f>
        <v>060582</v>
      </c>
      <c r="B903" s="3" t="s">
        <v>2769</v>
      </c>
      <c r="C903" s="61" t="s">
        <v>3318</v>
      </c>
      <c r="D903" s="3" t="s">
        <v>3249</v>
      </c>
      <c r="E903" s="3">
        <v>1</v>
      </c>
      <c r="F903" s="3" t="s">
        <v>3220</v>
      </c>
      <c r="G903" s="9">
        <v>126</v>
      </c>
      <c r="H903" s="66">
        <v>3717</v>
      </c>
      <c r="I903" s="9">
        <v>142.64880000000002</v>
      </c>
      <c r="J903" s="10">
        <v>1.1321333333333334</v>
      </c>
      <c r="K903" s="66">
        <v>879.31118228881678</v>
      </c>
      <c r="L903" s="69">
        <v>4596.3111822888168</v>
      </c>
      <c r="M903" s="64">
        <v>0</v>
      </c>
      <c r="N903" s="67">
        <v>0</v>
      </c>
      <c r="O903" s="64">
        <f t="shared" si="28"/>
        <v>4596.3111822888168</v>
      </c>
      <c r="P903" s="64">
        <f t="shared" si="29"/>
        <v>36.478660176895374</v>
      </c>
    </row>
    <row r="904" spans="1:16" ht="15">
      <c r="A904" s="19">
        <v>71126</v>
      </c>
      <c r="B904" s="20" t="s">
        <v>1918</v>
      </c>
      <c r="C904" s="61" t="s">
        <v>3318</v>
      </c>
      <c r="D904" s="19" t="s">
        <v>1973</v>
      </c>
      <c r="E904" s="19">
        <v>1</v>
      </c>
      <c r="F904" s="19" t="s">
        <v>1974</v>
      </c>
      <c r="G904" s="9">
        <v>12.36</v>
      </c>
      <c r="H904" s="66">
        <v>364.62</v>
      </c>
      <c r="I904" s="9">
        <v>55.522379999999998</v>
      </c>
      <c r="J904" s="10">
        <v>4.4921019417475732</v>
      </c>
      <c r="K904" s="66">
        <v>2279.6335704795019</v>
      </c>
      <c r="L904" s="69">
        <v>2644.2535704795018</v>
      </c>
      <c r="M904" s="64">
        <v>0</v>
      </c>
      <c r="N904" s="67">
        <v>0</v>
      </c>
      <c r="O904" s="64">
        <f t="shared" si="28"/>
        <v>2644.2535704795018</v>
      </c>
      <c r="P904" s="64">
        <f t="shared" si="29"/>
        <v>213.93637301614095</v>
      </c>
    </row>
    <row r="905" spans="1:16" ht="15">
      <c r="A905" s="3" t="str">
        <f>"058552"</f>
        <v>058552</v>
      </c>
      <c r="B905" s="3" t="s">
        <v>2671</v>
      </c>
      <c r="C905" s="61" t="s">
        <v>3318</v>
      </c>
      <c r="D905" s="3" t="s">
        <v>3249</v>
      </c>
      <c r="E905" s="3">
        <v>1</v>
      </c>
      <c r="F905" s="3" t="s">
        <v>3220</v>
      </c>
      <c r="G905" s="9">
        <v>127</v>
      </c>
      <c r="H905" s="66">
        <v>3746.5</v>
      </c>
      <c r="I905" s="9">
        <v>136.17400000000001</v>
      </c>
      <c r="J905" s="10">
        <v>1.0722362204724409</v>
      </c>
      <c r="K905" s="66">
        <v>484.52746061683729</v>
      </c>
      <c r="L905" s="69">
        <v>4231.0274606168368</v>
      </c>
      <c r="M905" s="64">
        <v>0</v>
      </c>
      <c r="N905" s="67">
        <v>0</v>
      </c>
      <c r="O905" s="64">
        <f t="shared" si="28"/>
        <v>4231.0274606168368</v>
      </c>
      <c r="P905" s="64">
        <f t="shared" si="29"/>
        <v>33.315176855250684</v>
      </c>
    </row>
    <row r="906" spans="1:16" ht="15">
      <c r="A906" s="3" t="s">
        <v>1228</v>
      </c>
      <c r="B906" s="3" t="s">
        <v>1229</v>
      </c>
      <c r="C906" s="61" t="s">
        <v>3318</v>
      </c>
      <c r="D906" s="3" t="s">
        <v>3248</v>
      </c>
      <c r="E906" s="3">
        <v>1</v>
      </c>
      <c r="F906" s="3" t="s">
        <v>3223</v>
      </c>
      <c r="G906" s="9">
        <v>584.98508800000002</v>
      </c>
      <c r="H906" s="66">
        <v>17257.060096000001</v>
      </c>
      <c r="I906" s="9">
        <v>691.60095387414697</v>
      </c>
      <c r="J906" s="10">
        <v>1.1822539891378341</v>
      </c>
      <c r="K906" s="66">
        <v>5630.9477603516143</v>
      </c>
      <c r="L906" s="69">
        <v>22888.007856351614</v>
      </c>
      <c r="M906" s="64">
        <v>398065.31728327682</v>
      </c>
      <c r="N906" s="67">
        <v>7978.9413087248086</v>
      </c>
      <c r="O906" s="64">
        <f t="shared" si="28"/>
        <v>30866.949165076425</v>
      </c>
      <c r="P906" s="64">
        <f t="shared" si="29"/>
        <v>52.765360687410244</v>
      </c>
    </row>
    <row r="907" spans="1:16" ht="15">
      <c r="A907" s="3" t="s">
        <v>1230</v>
      </c>
      <c r="B907" s="3" t="s">
        <v>1231</v>
      </c>
      <c r="C907" s="61" t="s">
        <v>3318</v>
      </c>
      <c r="D907" s="3" t="s">
        <v>3248</v>
      </c>
      <c r="E907" s="3">
        <v>1</v>
      </c>
      <c r="F907" s="3" t="s">
        <v>3223</v>
      </c>
      <c r="G907" s="9">
        <v>867.267515</v>
      </c>
      <c r="H907" s="66">
        <v>25584.391692500001</v>
      </c>
      <c r="I907" s="9">
        <v>1010.6598880158</v>
      </c>
      <c r="J907" s="10">
        <v>1.16533811140822</v>
      </c>
      <c r="K907" s="66">
        <v>7573.3096107660585</v>
      </c>
      <c r="L907" s="69">
        <v>33157.701303266062</v>
      </c>
      <c r="M907" s="64">
        <v>608534.53621262114</v>
      </c>
      <c r="N907" s="67">
        <v>12197.649827697158</v>
      </c>
      <c r="O907" s="64">
        <f t="shared" si="28"/>
        <v>45355.351130963216</v>
      </c>
      <c r="P907" s="64">
        <f t="shared" si="29"/>
        <v>52.296840763098587</v>
      </c>
    </row>
    <row r="908" spans="1:16" ht="15">
      <c r="A908" s="3" t="str">
        <f>"053769"</f>
        <v>053769</v>
      </c>
      <c r="B908" s="3" t="s">
        <v>2901</v>
      </c>
      <c r="C908" s="61" t="s">
        <v>3318</v>
      </c>
      <c r="D908" s="3" t="s">
        <v>3249</v>
      </c>
      <c r="E908" s="3">
        <v>1</v>
      </c>
      <c r="F908" s="3" t="s">
        <v>3220</v>
      </c>
      <c r="G908" s="9">
        <v>647</v>
      </c>
      <c r="H908" s="66">
        <v>19086.5</v>
      </c>
      <c r="I908" s="9">
        <v>685.30899999999997</v>
      </c>
      <c r="J908" s="10">
        <v>1.059210200927357</v>
      </c>
      <c r="K908" s="66">
        <v>2023.3009035066921</v>
      </c>
      <c r="L908" s="69">
        <v>21109.800903506693</v>
      </c>
      <c r="M908" s="64">
        <v>0</v>
      </c>
      <c r="N908" s="67">
        <v>0</v>
      </c>
      <c r="O908" s="64">
        <f t="shared" si="28"/>
        <v>21109.800903506693</v>
      </c>
      <c r="P908" s="64">
        <f t="shared" si="29"/>
        <v>32.627203869407566</v>
      </c>
    </row>
    <row r="909" spans="1:16" ht="15">
      <c r="A909" s="3" t="s">
        <v>741</v>
      </c>
      <c r="B909" s="3" t="s">
        <v>742</v>
      </c>
      <c r="C909" s="61" t="s">
        <v>3318</v>
      </c>
      <c r="D909" s="3" t="s">
        <v>3248</v>
      </c>
      <c r="E909" s="3">
        <v>1</v>
      </c>
      <c r="F909" s="3" t="s">
        <v>1905</v>
      </c>
      <c r="G909" s="9">
        <v>2673.849279</v>
      </c>
      <c r="H909" s="66">
        <v>78878.553730500003</v>
      </c>
      <c r="I909" s="9">
        <v>3339.03297509094</v>
      </c>
      <c r="J909" s="10">
        <v>1.2487738188218724</v>
      </c>
      <c r="K909" s="66">
        <v>35131.869098611831</v>
      </c>
      <c r="L909" s="69">
        <v>114010.42282911183</v>
      </c>
      <c r="M909" s="64">
        <v>1258965.4175661819</v>
      </c>
      <c r="N909" s="67">
        <v>25235.082636768057</v>
      </c>
      <c r="O909" s="64">
        <f t="shared" si="28"/>
        <v>139245.50546587989</v>
      </c>
      <c r="P909" s="64">
        <f t="shared" si="29"/>
        <v>52.076796758700134</v>
      </c>
    </row>
    <row r="910" spans="1:16" ht="15">
      <c r="A910" s="3" t="s">
        <v>1232</v>
      </c>
      <c r="B910" s="3" t="s">
        <v>1233</v>
      </c>
      <c r="C910" s="61" t="s">
        <v>3318</v>
      </c>
      <c r="D910" s="3" t="s">
        <v>3248</v>
      </c>
      <c r="E910" s="3">
        <v>1</v>
      </c>
      <c r="F910" s="3" t="s">
        <v>3223</v>
      </c>
      <c r="G910" s="9">
        <v>742.39901299999997</v>
      </c>
      <c r="H910" s="66">
        <v>21900.770883499998</v>
      </c>
      <c r="I910" s="9">
        <v>892.26593851961798</v>
      </c>
      <c r="J910" s="10">
        <v>1.2018684331408425</v>
      </c>
      <c r="K910" s="66">
        <v>7915.2649719286192</v>
      </c>
      <c r="L910" s="69">
        <v>29816.035855428618</v>
      </c>
      <c r="M910" s="64">
        <v>559614.91258612531</v>
      </c>
      <c r="N910" s="67">
        <v>11217.090133562971</v>
      </c>
      <c r="O910" s="64">
        <f t="shared" si="28"/>
        <v>41033.125988991589</v>
      </c>
      <c r="P910" s="64">
        <f t="shared" si="29"/>
        <v>55.270986720710511</v>
      </c>
    </row>
    <row r="911" spans="1:16" ht="15">
      <c r="A911" s="3" t="str">
        <f>"058933"</f>
        <v>058933</v>
      </c>
      <c r="B911" s="3" t="s">
        <v>3012</v>
      </c>
      <c r="C911" s="61" t="s">
        <v>3318</v>
      </c>
      <c r="D911" s="3" t="s">
        <v>3249</v>
      </c>
      <c r="E911" s="3">
        <v>1</v>
      </c>
      <c r="F911" s="3" t="s">
        <v>3220</v>
      </c>
      <c r="G911" s="9">
        <v>108</v>
      </c>
      <c r="H911" s="66">
        <v>3186</v>
      </c>
      <c r="I911" s="9">
        <v>128.708</v>
      </c>
      <c r="J911" s="10">
        <v>1.1917407407407408</v>
      </c>
      <c r="K911" s="66">
        <v>1093.6990031015325</v>
      </c>
      <c r="L911" s="69">
        <v>4279.6990031015321</v>
      </c>
      <c r="M911" s="64">
        <v>0</v>
      </c>
      <c r="N911" s="67">
        <v>0</v>
      </c>
      <c r="O911" s="64">
        <f t="shared" si="28"/>
        <v>4279.6990031015321</v>
      </c>
      <c r="P911" s="64">
        <f t="shared" si="29"/>
        <v>39.62684262131048</v>
      </c>
    </row>
    <row r="912" spans="1:16" ht="15">
      <c r="A912" s="3" t="str">
        <f>"059097"</f>
        <v>059097</v>
      </c>
      <c r="B912" s="3" t="s">
        <v>2625</v>
      </c>
      <c r="C912" s="61" t="s">
        <v>3318</v>
      </c>
      <c r="D912" s="3" t="s">
        <v>3249</v>
      </c>
      <c r="E912" s="3">
        <v>1</v>
      </c>
      <c r="F912" s="3" t="s">
        <v>3220</v>
      </c>
      <c r="G912" s="9">
        <v>75</v>
      </c>
      <c r="H912" s="66">
        <v>2212.5</v>
      </c>
      <c r="I912" s="9">
        <v>75.837399999999988</v>
      </c>
      <c r="J912" s="10">
        <v>1.0111653333333332</v>
      </c>
      <c r="K912" s="66">
        <v>44.227522947518374</v>
      </c>
      <c r="L912" s="69">
        <v>2256.7275229475185</v>
      </c>
      <c r="M912" s="64">
        <v>0</v>
      </c>
      <c r="N912" s="67">
        <v>0</v>
      </c>
      <c r="O912" s="64">
        <f t="shared" si="28"/>
        <v>2256.7275229475185</v>
      </c>
      <c r="P912" s="64">
        <f t="shared" si="29"/>
        <v>30.089700305966915</v>
      </c>
    </row>
    <row r="913" spans="1:16" ht="15">
      <c r="A913" s="3" t="s">
        <v>1234</v>
      </c>
      <c r="B913" s="3" t="s">
        <v>1235</v>
      </c>
      <c r="C913" s="61" t="s">
        <v>3318</v>
      </c>
      <c r="D913" s="3" t="s">
        <v>3248</v>
      </c>
      <c r="E913" s="3">
        <v>1</v>
      </c>
      <c r="F913" s="3" t="s">
        <v>3223</v>
      </c>
      <c r="G913" s="9">
        <v>992.21751600000005</v>
      </c>
      <c r="H913" s="66">
        <v>29270.416722000002</v>
      </c>
      <c r="I913" s="9">
        <v>1190.2529462689999</v>
      </c>
      <c r="J913" s="10">
        <v>1.1995887263383083</v>
      </c>
      <c r="K913" s="66">
        <v>10459.298467451626</v>
      </c>
      <c r="L913" s="69">
        <v>39729.715189451628</v>
      </c>
      <c r="M913" s="64">
        <v>1184745.526782559</v>
      </c>
      <c r="N913" s="67">
        <v>23747.396755103906</v>
      </c>
      <c r="O913" s="64">
        <f t="shared" si="28"/>
        <v>63477.111944555538</v>
      </c>
      <c r="P913" s="64">
        <f t="shared" si="29"/>
        <v>63.974996329892988</v>
      </c>
    </row>
    <row r="914" spans="1:16" s="19" customFormat="1" ht="15">
      <c r="A914" s="3" t="s">
        <v>840</v>
      </c>
      <c r="B914" s="3" t="s">
        <v>841</v>
      </c>
      <c r="C914" s="61" t="s">
        <v>3318</v>
      </c>
      <c r="D914" s="3" t="s">
        <v>3248</v>
      </c>
      <c r="E914" s="3">
        <v>1</v>
      </c>
      <c r="F914" s="3" t="s">
        <v>1905</v>
      </c>
      <c r="G914" s="9">
        <v>1448.464688</v>
      </c>
      <c r="H914" s="66">
        <v>42729.708295999997</v>
      </c>
      <c r="I914" s="9">
        <v>1819.80745726429</v>
      </c>
      <c r="J914" s="10">
        <v>1.2563699152217715</v>
      </c>
      <c r="K914" s="66">
        <v>19612.575649667586</v>
      </c>
      <c r="L914" s="69">
        <v>62342.283945667587</v>
      </c>
      <c r="M914" s="64">
        <v>857815.31714288646</v>
      </c>
      <c r="N914" s="67">
        <v>17194.309004161496</v>
      </c>
      <c r="O914" s="64">
        <f t="shared" si="28"/>
        <v>79536.592949829079</v>
      </c>
      <c r="P914" s="64">
        <f t="shared" si="29"/>
        <v>54.910964422371251</v>
      </c>
    </row>
    <row r="915" spans="1:16" s="19" customFormat="1" ht="15">
      <c r="A915" s="3" t="str">
        <f>"132928"</f>
        <v>132928</v>
      </c>
      <c r="B915" s="3" t="s">
        <v>2836</v>
      </c>
      <c r="C915" s="61" t="s">
        <v>3328</v>
      </c>
      <c r="D915" s="3" t="s">
        <v>3249</v>
      </c>
      <c r="E915" s="3">
        <v>1</v>
      </c>
      <c r="F915" s="3" t="s">
        <v>3220</v>
      </c>
      <c r="G915" s="9">
        <v>114</v>
      </c>
      <c r="H915" s="66">
        <v>3363</v>
      </c>
      <c r="I915" s="9">
        <v>135.3732</v>
      </c>
      <c r="J915" s="10">
        <v>1.1874842105263157</v>
      </c>
      <c r="K915" s="66">
        <v>1128.8317332958118</v>
      </c>
      <c r="L915" s="69">
        <v>4491.8317332958122</v>
      </c>
      <c r="M915" s="64">
        <v>0</v>
      </c>
      <c r="N915" s="67">
        <v>0</v>
      </c>
      <c r="O915" s="64">
        <f t="shared" si="28"/>
        <v>4491.8317332958122</v>
      </c>
      <c r="P915" s="64">
        <f t="shared" si="29"/>
        <v>39.402032748208882</v>
      </c>
    </row>
    <row r="916" spans="1:16" s="19" customFormat="1" ht="15">
      <c r="A916" s="3" t="s">
        <v>662</v>
      </c>
      <c r="B916" s="3" t="s">
        <v>663</v>
      </c>
      <c r="C916" s="61" t="s">
        <v>3328</v>
      </c>
      <c r="D916" s="3" t="s">
        <v>3248</v>
      </c>
      <c r="E916" s="3">
        <v>1</v>
      </c>
      <c r="F916" s="3" t="s">
        <v>1904</v>
      </c>
      <c r="G916" s="9">
        <v>2321.9972440000001</v>
      </c>
      <c r="H916" s="66">
        <v>68498.918698000009</v>
      </c>
      <c r="I916" s="9">
        <v>2873.7684895930902</v>
      </c>
      <c r="J916" s="10">
        <v>1.2376278641238085</v>
      </c>
      <c r="K916" s="66">
        <v>29141.95775764214</v>
      </c>
      <c r="L916" s="69">
        <v>97640.876455642152</v>
      </c>
      <c r="M916" s="64">
        <v>2407299.5372072058</v>
      </c>
      <c r="N916" s="67">
        <v>48252.638162464762</v>
      </c>
      <c r="O916" s="64">
        <f t="shared" si="28"/>
        <v>145893.51461810691</v>
      </c>
      <c r="P916" s="64">
        <f t="shared" si="29"/>
        <v>62.831045555757299</v>
      </c>
    </row>
    <row r="917" spans="1:16" s="19" customFormat="1" ht="15">
      <c r="A917" s="19">
        <v>66050</v>
      </c>
      <c r="B917" s="20" t="s">
        <v>1945</v>
      </c>
      <c r="C917" s="61" t="s">
        <v>3328</v>
      </c>
      <c r="D917" s="19" t="s">
        <v>1973</v>
      </c>
      <c r="E917" s="19">
        <v>1</v>
      </c>
      <c r="F917" s="19" t="s">
        <v>1974</v>
      </c>
      <c r="G917" s="9">
        <v>51.22</v>
      </c>
      <c r="H917" s="66">
        <v>1510.99</v>
      </c>
      <c r="I917" s="9">
        <v>259.66214200000002</v>
      </c>
      <c r="J917" s="10">
        <v>5.0695459195626711</v>
      </c>
      <c r="K917" s="66">
        <v>11008.931954305008</v>
      </c>
      <c r="L917" s="69">
        <v>12519.921954305008</v>
      </c>
      <c r="M917" s="64">
        <v>0</v>
      </c>
      <c r="N917" s="67">
        <v>0</v>
      </c>
      <c r="O917" s="64">
        <f t="shared" si="28"/>
        <v>12519.921954305008</v>
      </c>
      <c r="P917" s="64">
        <f t="shared" si="29"/>
        <v>244.43424354363546</v>
      </c>
    </row>
    <row r="918" spans="1:16" s="19" customFormat="1" ht="15">
      <c r="A918" s="3" t="s">
        <v>1236</v>
      </c>
      <c r="B918" s="3" t="s">
        <v>1237</v>
      </c>
      <c r="C918" s="61" t="s">
        <v>3328</v>
      </c>
      <c r="D918" s="3" t="s">
        <v>3248</v>
      </c>
      <c r="E918" s="3">
        <v>1</v>
      </c>
      <c r="F918" s="3" t="s">
        <v>3224</v>
      </c>
      <c r="G918" s="9">
        <v>1161.4225019999999</v>
      </c>
      <c r="H918" s="66">
        <v>34261.963808999993</v>
      </c>
      <c r="I918" s="9">
        <v>1474.4735877850301</v>
      </c>
      <c r="J918" s="10">
        <v>1.2695410888336915</v>
      </c>
      <c r="K918" s="66">
        <v>16533.883544665823</v>
      </c>
      <c r="L918" s="69">
        <v>50795.847353665813</v>
      </c>
      <c r="M918" s="64">
        <v>1639807.7004028375</v>
      </c>
      <c r="N918" s="67">
        <v>32868.800247167143</v>
      </c>
      <c r="O918" s="64">
        <f t="shared" si="28"/>
        <v>83664.647600832948</v>
      </c>
      <c r="P918" s="64">
        <f t="shared" si="29"/>
        <v>72.036358393918007</v>
      </c>
    </row>
    <row r="919" spans="1:16" s="19" customFormat="1" ht="15">
      <c r="A919" s="3" t="str">
        <f>"058131"</f>
        <v>058131</v>
      </c>
      <c r="B919" s="3" t="s">
        <v>2736</v>
      </c>
      <c r="C919" s="61" t="s">
        <v>3328</v>
      </c>
      <c r="D919" s="3" t="s">
        <v>3249</v>
      </c>
      <c r="E919" s="3">
        <v>1</v>
      </c>
      <c r="F919" s="3" t="s">
        <v>3220</v>
      </c>
      <c r="G919" s="9">
        <v>105</v>
      </c>
      <c r="H919" s="66">
        <v>3097.5</v>
      </c>
      <c r="I919" s="9">
        <v>121.0984</v>
      </c>
      <c r="J919" s="10">
        <v>1.1533180952380953</v>
      </c>
      <c r="K919" s="66">
        <v>850.24164726336255</v>
      </c>
      <c r="L919" s="69">
        <v>3947.7416472633627</v>
      </c>
      <c r="M919" s="64">
        <v>0</v>
      </c>
      <c r="N919" s="67">
        <v>0</v>
      </c>
      <c r="O919" s="64">
        <f t="shared" si="28"/>
        <v>3947.7416472633627</v>
      </c>
      <c r="P919" s="64">
        <f t="shared" si="29"/>
        <v>37.597539497746311</v>
      </c>
    </row>
    <row r="920" spans="1:16" s="19" customFormat="1" ht="15">
      <c r="A920" s="3" t="s">
        <v>827</v>
      </c>
      <c r="B920" s="3" t="s">
        <v>1861</v>
      </c>
      <c r="C920" s="61" t="s">
        <v>3328</v>
      </c>
      <c r="D920" s="3" t="s">
        <v>3248</v>
      </c>
      <c r="E920" s="3">
        <v>1</v>
      </c>
      <c r="F920" s="3" t="s">
        <v>3223</v>
      </c>
      <c r="G920" s="9">
        <v>1303.181902</v>
      </c>
      <c r="H920" s="66">
        <v>38443.866109000002</v>
      </c>
      <c r="I920" s="9">
        <v>1794.48333793898</v>
      </c>
      <c r="J920" s="10">
        <v>1.3770014264201929</v>
      </c>
      <c r="K920" s="66">
        <v>25948.227289396073</v>
      </c>
      <c r="L920" s="69">
        <v>64392.093398396071</v>
      </c>
      <c r="M920" s="64">
        <v>1179115.6975755496</v>
      </c>
      <c r="N920" s="67">
        <v>23634.550760061069</v>
      </c>
      <c r="O920" s="64">
        <f t="shared" si="28"/>
        <v>88026.644158457144</v>
      </c>
      <c r="P920" s="64">
        <f t="shared" si="29"/>
        <v>67.547472861127218</v>
      </c>
    </row>
    <row r="921" spans="1:16" s="19" customFormat="1" ht="15">
      <c r="A921" s="3" t="str">
        <f>"058305"</f>
        <v>058305</v>
      </c>
      <c r="B921" s="3" t="s">
        <v>2887</v>
      </c>
      <c r="C921" s="61" t="s">
        <v>3323</v>
      </c>
      <c r="D921" s="3" t="s">
        <v>3249</v>
      </c>
      <c r="E921" s="3">
        <v>1</v>
      </c>
      <c r="F921" s="3" t="s">
        <v>3220</v>
      </c>
      <c r="G921" s="9">
        <v>299</v>
      </c>
      <c r="H921" s="66">
        <v>8820.5</v>
      </c>
      <c r="I921" s="9">
        <v>325.78459999999995</v>
      </c>
      <c r="J921" s="10">
        <v>1.0895806020066887</v>
      </c>
      <c r="K921" s="66">
        <v>1414.6363877956953</v>
      </c>
      <c r="L921" s="69">
        <v>10235.136387795696</v>
      </c>
      <c r="M921" s="64">
        <v>0</v>
      </c>
      <c r="N921" s="67">
        <v>0</v>
      </c>
      <c r="O921" s="64">
        <f t="shared" si="28"/>
        <v>10235.136387795696</v>
      </c>
      <c r="P921" s="64">
        <f t="shared" si="29"/>
        <v>34.231225377243128</v>
      </c>
    </row>
    <row r="922" spans="1:16" s="19" customFormat="1" ht="15">
      <c r="A922" s="3" t="str">
        <f>"010187"</f>
        <v>010187</v>
      </c>
      <c r="B922" s="3" t="s">
        <v>2683</v>
      </c>
      <c r="C922" s="61" t="s">
        <v>3323</v>
      </c>
      <c r="D922" s="3" t="s">
        <v>3249</v>
      </c>
      <c r="E922" s="3">
        <v>1</v>
      </c>
      <c r="F922" s="3" t="s">
        <v>3220</v>
      </c>
      <c r="G922" s="9">
        <v>98</v>
      </c>
      <c r="H922" s="66">
        <v>2891</v>
      </c>
      <c r="I922" s="9">
        <v>101.84960000000001</v>
      </c>
      <c r="J922" s="10">
        <v>1.0392816326530614</v>
      </c>
      <c r="K922" s="66">
        <v>203.31773625360586</v>
      </c>
      <c r="L922" s="69">
        <v>3094.3177362536057</v>
      </c>
      <c r="M922" s="64">
        <v>0</v>
      </c>
      <c r="N922" s="67">
        <v>0</v>
      </c>
      <c r="O922" s="64">
        <f t="shared" si="28"/>
        <v>3094.3177362536057</v>
      </c>
      <c r="P922" s="64">
        <f t="shared" si="29"/>
        <v>31.574670778098017</v>
      </c>
    </row>
    <row r="923" spans="1:16" s="19" customFormat="1" ht="15">
      <c r="A923" s="3" t="s">
        <v>1238</v>
      </c>
      <c r="B923" s="3" t="s">
        <v>1872</v>
      </c>
      <c r="C923" s="61" t="s">
        <v>3323</v>
      </c>
      <c r="D923" s="3" t="s">
        <v>3248</v>
      </c>
      <c r="E923" s="3">
        <v>1</v>
      </c>
      <c r="F923" s="3" t="s">
        <v>3223</v>
      </c>
      <c r="G923" s="9">
        <v>1570.1579360000001</v>
      </c>
      <c r="H923" s="66">
        <v>46319.659112000001</v>
      </c>
      <c r="I923" s="9">
        <v>2003.8029583821601</v>
      </c>
      <c r="J923" s="10">
        <v>1.2761792380496939</v>
      </c>
      <c r="K923" s="66">
        <v>22903.087148894643</v>
      </c>
      <c r="L923" s="69">
        <v>69222.746260894637</v>
      </c>
      <c r="M923" s="64">
        <v>2171194.9176907465</v>
      </c>
      <c r="N923" s="67">
        <v>43520.085940388082</v>
      </c>
      <c r="O923" s="64">
        <f t="shared" si="28"/>
        <v>112742.83220128273</v>
      </c>
      <c r="P923" s="64">
        <f t="shared" si="29"/>
        <v>71.803497989824336</v>
      </c>
    </row>
    <row r="924" spans="1:16" s="19" customFormat="1" ht="15">
      <c r="A924" s="3" t="str">
        <f>"052837"</f>
        <v>052837</v>
      </c>
      <c r="B924" s="3" t="s">
        <v>2765</v>
      </c>
      <c r="C924" s="61" t="s">
        <v>3323</v>
      </c>
      <c r="D924" s="3" t="s">
        <v>3249</v>
      </c>
      <c r="E924" s="3">
        <v>1</v>
      </c>
      <c r="F924" s="3" t="s">
        <v>3220</v>
      </c>
      <c r="G924" s="9">
        <v>212</v>
      </c>
      <c r="H924" s="66">
        <v>6254</v>
      </c>
      <c r="I924" s="9">
        <v>220.84880000000001</v>
      </c>
      <c r="J924" s="10">
        <v>1.0417396226415094</v>
      </c>
      <c r="K924" s="66">
        <v>467.35192865775809</v>
      </c>
      <c r="L924" s="69">
        <v>6721.3519286577584</v>
      </c>
      <c r="M924" s="64">
        <v>0</v>
      </c>
      <c r="N924" s="67">
        <v>0</v>
      </c>
      <c r="O924" s="64">
        <f t="shared" si="28"/>
        <v>6721.3519286577584</v>
      </c>
      <c r="P924" s="64">
        <f t="shared" si="29"/>
        <v>31.704490229517727</v>
      </c>
    </row>
    <row r="925" spans="1:16" s="19" customFormat="1" ht="15">
      <c r="A925" s="3" t="s">
        <v>1239</v>
      </c>
      <c r="B925" s="3" t="s">
        <v>1240</v>
      </c>
      <c r="C925" s="61" t="s">
        <v>3323</v>
      </c>
      <c r="D925" s="3" t="s">
        <v>3248</v>
      </c>
      <c r="E925" s="3">
        <v>1</v>
      </c>
      <c r="F925" s="3" t="s">
        <v>3223</v>
      </c>
      <c r="G925" s="9">
        <v>1464.399244</v>
      </c>
      <c r="H925" s="66">
        <v>43199.777697999998</v>
      </c>
      <c r="I925" s="9">
        <v>1800.24923711369</v>
      </c>
      <c r="J925" s="10">
        <v>1.2293431893588782</v>
      </c>
      <c r="K925" s="66">
        <v>17738.014422450233</v>
      </c>
      <c r="L925" s="69">
        <v>60937.792120450235</v>
      </c>
      <c r="M925" s="64">
        <v>2522651.1405663961</v>
      </c>
      <c r="N925" s="67">
        <v>50564.780499686545</v>
      </c>
      <c r="O925" s="64">
        <f t="shared" si="28"/>
        <v>111502.57262013678</v>
      </c>
      <c r="P925" s="64">
        <f t="shared" si="29"/>
        <v>76.142194880931513</v>
      </c>
    </row>
    <row r="926" spans="1:16" s="19" customFormat="1" ht="15">
      <c r="A926" s="3" t="s">
        <v>1241</v>
      </c>
      <c r="B926" s="3" t="s">
        <v>1242</v>
      </c>
      <c r="C926" s="61" t="s">
        <v>3323</v>
      </c>
      <c r="D926" s="3" t="s">
        <v>3248</v>
      </c>
      <c r="E926" s="3">
        <v>1</v>
      </c>
      <c r="F926" s="3" t="s">
        <v>1905</v>
      </c>
      <c r="G926" s="9">
        <v>2011.5026519999999</v>
      </c>
      <c r="H926" s="66">
        <v>59339.328234000001</v>
      </c>
      <c r="I926" s="9">
        <v>2505.5748647745199</v>
      </c>
      <c r="J926" s="10">
        <v>1.2456234458767794</v>
      </c>
      <c r="K926" s="66">
        <v>26094.56666851752</v>
      </c>
      <c r="L926" s="69">
        <v>85433.894902517524</v>
      </c>
      <c r="M926" s="64">
        <v>1324758.0968720475</v>
      </c>
      <c r="N926" s="67">
        <v>26553.850949234926</v>
      </c>
      <c r="O926" s="64">
        <f t="shared" si="28"/>
        <v>111987.74585175245</v>
      </c>
      <c r="P926" s="64">
        <f t="shared" si="29"/>
        <v>55.673675468637889</v>
      </c>
    </row>
    <row r="927" spans="1:16" s="19" customFormat="1" ht="15">
      <c r="A927" s="3" t="s">
        <v>480</v>
      </c>
      <c r="B927" s="3" t="s">
        <v>481</v>
      </c>
      <c r="C927" s="61" t="s">
        <v>3323</v>
      </c>
      <c r="D927" s="3" t="s">
        <v>456</v>
      </c>
      <c r="E927" s="3">
        <v>1</v>
      </c>
      <c r="F927" s="3" t="s">
        <v>1897</v>
      </c>
      <c r="G927" s="9">
        <v>342.819548</v>
      </c>
      <c r="H927" s="66">
        <v>10113.176665999999</v>
      </c>
      <c r="I927" s="9">
        <v>464.897606189351</v>
      </c>
      <c r="J927" s="10">
        <v>1.3561000500162581</v>
      </c>
      <c r="K927" s="66">
        <v>6447.5879149248631</v>
      </c>
      <c r="L927" s="69">
        <v>16560.764580924864</v>
      </c>
      <c r="M927" s="64">
        <v>0</v>
      </c>
      <c r="N927" s="67">
        <v>0</v>
      </c>
      <c r="O927" s="64">
        <f t="shared" si="28"/>
        <v>16560.764580924864</v>
      </c>
      <c r="P927" s="64">
        <f t="shared" si="29"/>
        <v>48.307527028548748</v>
      </c>
    </row>
    <row r="928" spans="1:16" s="19" customFormat="1" ht="15">
      <c r="A928" s="19">
        <v>66068</v>
      </c>
      <c r="B928" s="20" t="s">
        <v>1944</v>
      </c>
      <c r="C928" s="61" t="s">
        <v>3323</v>
      </c>
      <c r="D928" s="19" t="s">
        <v>1973</v>
      </c>
      <c r="E928" s="19">
        <v>1</v>
      </c>
      <c r="F928" s="19" t="s">
        <v>1974</v>
      </c>
      <c r="G928" s="9">
        <v>63.73</v>
      </c>
      <c r="H928" s="66">
        <v>1880.0349999999999</v>
      </c>
      <c r="I928" s="9">
        <v>315.65847400000001</v>
      </c>
      <c r="J928" s="10">
        <v>4.9530593754903505</v>
      </c>
      <c r="K928" s="66">
        <v>13305.67514326301</v>
      </c>
      <c r="L928" s="69">
        <v>15185.71014326301</v>
      </c>
      <c r="M928" s="64">
        <v>0</v>
      </c>
      <c r="N928" s="67">
        <v>0</v>
      </c>
      <c r="O928" s="64">
        <f t="shared" si="28"/>
        <v>15185.71014326301</v>
      </c>
      <c r="P928" s="64">
        <f t="shared" si="29"/>
        <v>238.28197306234128</v>
      </c>
    </row>
    <row r="929" spans="1:16" s="19" customFormat="1" ht="15">
      <c r="A929" s="3" t="str">
        <f>"110411"</f>
        <v>110411</v>
      </c>
      <c r="B929" s="3" t="s">
        <v>2839</v>
      </c>
      <c r="C929" s="61" t="s">
        <v>3323</v>
      </c>
      <c r="D929" s="3" t="s">
        <v>3249</v>
      </c>
      <c r="E929" s="3">
        <v>1</v>
      </c>
      <c r="F929" s="3" t="s">
        <v>3220</v>
      </c>
      <c r="G929" s="9">
        <v>140</v>
      </c>
      <c r="H929" s="66">
        <v>4130</v>
      </c>
      <c r="I929" s="9">
        <v>153.2732</v>
      </c>
      <c r="J929" s="10">
        <v>1.0948085714285714</v>
      </c>
      <c r="K929" s="66">
        <v>701.02789298663629</v>
      </c>
      <c r="L929" s="69">
        <v>4831.0278929866363</v>
      </c>
      <c r="M929" s="64">
        <v>0</v>
      </c>
      <c r="N929" s="67">
        <v>0</v>
      </c>
      <c r="O929" s="64">
        <f t="shared" si="28"/>
        <v>4831.0278929866363</v>
      </c>
      <c r="P929" s="64">
        <f t="shared" si="29"/>
        <v>34.507342092761689</v>
      </c>
    </row>
    <row r="930" spans="1:16" s="19" customFormat="1" ht="15">
      <c r="A930" s="3" t="s">
        <v>790</v>
      </c>
      <c r="B930" s="3" t="s">
        <v>791</v>
      </c>
      <c r="C930" s="61" t="s">
        <v>3323</v>
      </c>
      <c r="D930" s="3" t="s">
        <v>3248</v>
      </c>
      <c r="E930" s="3">
        <v>1</v>
      </c>
      <c r="F930" s="3" t="s">
        <v>1909</v>
      </c>
      <c r="G930" s="9">
        <v>2543.5638429999999</v>
      </c>
      <c r="H930" s="66">
        <v>75035.133368499999</v>
      </c>
      <c r="I930" s="9">
        <v>3496.26284550524</v>
      </c>
      <c r="J930" s="10">
        <v>1.3745528169568497</v>
      </c>
      <c r="K930" s="66">
        <v>50317.073077834924</v>
      </c>
      <c r="L930" s="69">
        <v>125352.20644633492</v>
      </c>
      <c r="M930" s="64">
        <v>808469.47485804977</v>
      </c>
      <c r="N930" s="67">
        <v>16205.206054657074</v>
      </c>
      <c r="O930" s="64">
        <f t="shared" si="28"/>
        <v>141557.41250099201</v>
      </c>
      <c r="P930" s="64">
        <f t="shared" si="29"/>
        <v>55.653178468692367</v>
      </c>
    </row>
    <row r="931" spans="1:16" s="19" customFormat="1" ht="15">
      <c r="A931" s="3" t="s">
        <v>806</v>
      </c>
      <c r="B931" s="3" t="s">
        <v>807</v>
      </c>
      <c r="C931" s="61" t="s">
        <v>3323</v>
      </c>
      <c r="D931" s="3" t="s">
        <v>3248</v>
      </c>
      <c r="E931" s="3">
        <v>1</v>
      </c>
      <c r="F931" s="3" t="s">
        <v>1905</v>
      </c>
      <c r="G931" s="9">
        <v>890.117707</v>
      </c>
      <c r="H931" s="66">
        <v>26258.472356499999</v>
      </c>
      <c r="I931" s="9">
        <v>1078.49391643997</v>
      </c>
      <c r="J931" s="10">
        <v>1.2116306730655455</v>
      </c>
      <c r="K931" s="66">
        <v>9949.1439285561482</v>
      </c>
      <c r="L931" s="69">
        <v>36207.616285056145</v>
      </c>
      <c r="M931" s="64">
        <v>236813.26901279361</v>
      </c>
      <c r="N931" s="67">
        <v>4746.7566063679278</v>
      </c>
      <c r="O931" s="64">
        <f t="shared" si="28"/>
        <v>40954.372891424071</v>
      </c>
      <c r="P931" s="64">
        <f t="shared" si="29"/>
        <v>46.01006425257426</v>
      </c>
    </row>
    <row r="932" spans="1:16" s="19" customFormat="1" ht="15">
      <c r="A932" s="3" t="s">
        <v>1243</v>
      </c>
      <c r="B932" s="3" t="s">
        <v>1244</v>
      </c>
      <c r="C932" s="61" t="s">
        <v>3302</v>
      </c>
      <c r="D932" s="3" t="s">
        <v>3248</v>
      </c>
      <c r="E932" s="3">
        <v>1</v>
      </c>
      <c r="F932" s="3" t="s">
        <v>1904</v>
      </c>
      <c r="G932" s="9">
        <v>1086.0523619999999</v>
      </c>
      <c r="H932" s="66">
        <v>32038.544678999999</v>
      </c>
      <c r="I932" s="9">
        <v>1251.8933709308001</v>
      </c>
      <c r="J932" s="10">
        <v>1.1527007488160135</v>
      </c>
      <c r="K932" s="66">
        <v>8758.9408026351412</v>
      </c>
      <c r="L932" s="69">
        <v>40797.485481635144</v>
      </c>
      <c r="M932" s="64">
        <v>805809.40332933422</v>
      </c>
      <c r="N932" s="67">
        <v>16151.886778440083</v>
      </c>
      <c r="O932" s="64">
        <f t="shared" si="28"/>
        <v>56949.372260075223</v>
      </c>
      <c r="P932" s="64">
        <f t="shared" si="29"/>
        <v>52.437041023695343</v>
      </c>
    </row>
    <row r="933" spans="1:16" s="19" customFormat="1" ht="15">
      <c r="A933" s="3" t="str">
        <f>"093864"</f>
        <v>093864</v>
      </c>
      <c r="B933" s="3" t="s">
        <v>3100</v>
      </c>
      <c r="C933" s="61" t="s">
        <v>3302</v>
      </c>
      <c r="D933" s="3" t="s">
        <v>3249</v>
      </c>
      <c r="E933" s="3">
        <v>1</v>
      </c>
      <c r="F933" s="3" t="s">
        <v>3220</v>
      </c>
      <c r="G933" s="9">
        <v>13</v>
      </c>
      <c r="H933" s="66">
        <v>383.5</v>
      </c>
      <c r="I933" s="9">
        <v>13</v>
      </c>
      <c r="J933" s="10">
        <v>1</v>
      </c>
      <c r="K933" s="66">
        <v>0</v>
      </c>
      <c r="L933" s="69">
        <v>383.5</v>
      </c>
      <c r="M933" s="64">
        <v>0</v>
      </c>
      <c r="N933" s="67">
        <v>0</v>
      </c>
      <c r="O933" s="64">
        <f t="shared" si="28"/>
        <v>383.5</v>
      </c>
      <c r="P933" s="64">
        <f t="shared" si="29"/>
        <v>29.5</v>
      </c>
    </row>
    <row r="934" spans="1:16" s="19" customFormat="1" ht="15">
      <c r="A934" s="3" t="s">
        <v>1245</v>
      </c>
      <c r="B934" s="3" t="s">
        <v>1873</v>
      </c>
      <c r="C934" s="61" t="s">
        <v>3302</v>
      </c>
      <c r="D934" s="3" t="s">
        <v>3248</v>
      </c>
      <c r="E934" s="3">
        <v>1</v>
      </c>
      <c r="F934" s="3" t="s">
        <v>3224</v>
      </c>
      <c r="G934" s="9">
        <v>610.47132399999998</v>
      </c>
      <c r="H934" s="66">
        <v>18008.904058</v>
      </c>
      <c r="I934" s="9">
        <v>712.06166665463502</v>
      </c>
      <c r="J934" s="10">
        <v>1.1664129643125303</v>
      </c>
      <c r="K934" s="66">
        <v>5365.5232995034494</v>
      </c>
      <c r="L934" s="69">
        <v>23374.427357503449</v>
      </c>
      <c r="M934" s="64">
        <v>371164.71342285915</v>
      </c>
      <c r="N934" s="67">
        <v>7439.7374895214771</v>
      </c>
      <c r="O934" s="64">
        <f t="shared" si="28"/>
        <v>30814.164847024927</v>
      </c>
      <c r="P934" s="64">
        <f t="shared" si="29"/>
        <v>50.476023419283372</v>
      </c>
    </row>
    <row r="935" spans="1:16" s="19" customFormat="1" ht="15">
      <c r="A935" s="3" t="s">
        <v>1246</v>
      </c>
      <c r="B935" s="3" t="s">
        <v>1247</v>
      </c>
      <c r="C935" s="61" t="s">
        <v>3302</v>
      </c>
      <c r="D935" s="3" t="s">
        <v>3248</v>
      </c>
      <c r="E935" s="3">
        <v>1</v>
      </c>
      <c r="F935" s="3" t="s">
        <v>3224</v>
      </c>
      <c r="G935" s="9">
        <v>893.50758399999995</v>
      </c>
      <c r="H935" s="66">
        <v>26358.473727999997</v>
      </c>
      <c r="I935" s="9">
        <v>1078.4392512161101</v>
      </c>
      <c r="J935" s="10">
        <v>1.2069726889034555</v>
      </c>
      <c r="K935" s="66">
        <v>9767.2194357815333</v>
      </c>
      <c r="L935" s="69">
        <v>36125.693163781529</v>
      </c>
      <c r="M935" s="64">
        <v>1187999.3174355603</v>
      </c>
      <c r="N935" s="67">
        <v>23812.616716562388</v>
      </c>
      <c r="O935" s="64">
        <f t="shared" si="28"/>
        <v>59938.309880343921</v>
      </c>
      <c r="P935" s="64">
        <f t="shared" si="29"/>
        <v>67.082038198283414</v>
      </c>
    </row>
    <row r="936" spans="1:16" s="19" customFormat="1" ht="15">
      <c r="A936" s="3" t="s">
        <v>1248</v>
      </c>
      <c r="B936" s="3" t="s">
        <v>1249</v>
      </c>
      <c r="C936" s="61" t="s">
        <v>3302</v>
      </c>
      <c r="D936" s="3" t="s">
        <v>3248</v>
      </c>
      <c r="E936" s="3">
        <v>1</v>
      </c>
      <c r="F936" s="3" t="s">
        <v>3223</v>
      </c>
      <c r="G936" s="9">
        <v>1193.731121</v>
      </c>
      <c r="H936" s="66">
        <v>35215.068069499997</v>
      </c>
      <c r="I936" s="9">
        <v>1505.60505461504</v>
      </c>
      <c r="J936" s="10">
        <v>1.2612597829851167</v>
      </c>
      <c r="K936" s="66">
        <v>16471.711912696675</v>
      </c>
      <c r="L936" s="69">
        <v>51686.779982196676</v>
      </c>
      <c r="M936" s="64">
        <v>894475.02951102983</v>
      </c>
      <c r="N936" s="67">
        <v>17929.127338440019</v>
      </c>
      <c r="O936" s="64">
        <f t="shared" si="28"/>
        <v>69615.907320636703</v>
      </c>
      <c r="P936" s="64">
        <f t="shared" si="29"/>
        <v>58.317912715820619</v>
      </c>
    </row>
    <row r="937" spans="1:16" s="19" customFormat="1" ht="15">
      <c r="A937" s="3" t="s">
        <v>482</v>
      </c>
      <c r="B937" s="3" t="s">
        <v>1845</v>
      </c>
      <c r="C937" s="61" t="s">
        <v>3302</v>
      </c>
      <c r="D937" s="3" t="s">
        <v>456</v>
      </c>
      <c r="E937" s="3">
        <v>1</v>
      </c>
      <c r="F937" s="3" t="s">
        <v>1897</v>
      </c>
      <c r="G937" s="9">
        <v>574.99783400000001</v>
      </c>
      <c r="H937" s="66">
        <v>16962.436103</v>
      </c>
      <c r="I937" s="9">
        <v>753.81816183459796</v>
      </c>
      <c r="J937" s="10">
        <v>1.3109930459922357</v>
      </c>
      <c r="K937" s="66">
        <v>9444.4472806156555</v>
      </c>
      <c r="L937" s="69">
        <v>26406.883383615655</v>
      </c>
      <c r="M937" s="64">
        <v>0</v>
      </c>
      <c r="N937" s="67">
        <v>0</v>
      </c>
      <c r="O937" s="64">
        <f t="shared" si="28"/>
        <v>26406.883383615655</v>
      </c>
      <c r="P937" s="64">
        <f t="shared" si="29"/>
        <v>45.925187578386002</v>
      </c>
    </row>
    <row r="938" spans="1:16" s="19" customFormat="1" ht="15">
      <c r="A938" s="3" t="s">
        <v>714</v>
      </c>
      <c r="B938" s="3" t="s">
        <v>715</v>
      </c>
      <c r="C938" s="61" t="s">
        <v>3302</v>
      </c>
      <c r="D938" s="3" t="s">
        <v>3248</v>
      </c>
      <c r="E938" s="3">
        <v>1</v>
      </c>
      <c r="F938" s="3" t="s">
        <v>1904</v>
      </c>
      <c r="G938" s="9">
        <v>3673.4784239999999</v>
      </c>
      <c r="H938" s="66">
        <v>108367.61350799999</v>
      </c>
      <c r="I938" s="9">
        <v>4677.1328842921703</v>
      </c>
      <c r="J938" s="10">
        <v>1.2732163754481249</v>
      </c>
      <c r="K938" s="66">
        <v>53008.300303262193</v>
      </c>
      <c r="L938" s="69">
        <v>161375.91381126217</v>
      </c>
      <c r="M938" s="64">
        <v>2182251.3375166086</v>
      </c>
      <c r="N938" s="67">
        <v>43741.704154899337</v>
      </c>
      <c r="O938" s="64">
        <f t="shared" si="28"/>
        <v>205117.61796616152</v>
      </c>
      <c r="P938" s="64">
        <f t="shared" si="29"/>
        <v>55.837436427028685</v>
      </c>
    </row>
    <row r="939" spans="1:16" s="19" customFormat="1" ht="15">
      <c r="A939" s="3" t="str">
        <f>"054148"</f>
        <v>054148</v>
      </c>
      <c r="B939" s="3" t="s">
        <v>2737</v>
      </c>
      <c r="C939" s="61" t="s">
        <v>3302</v>
      </c>
      <c r="D939" s="3" t="s">
        <v>3249</v>
      </c>
      <c r="E939" s="3">
        <v>1</v>
      </c>
      <c r="F939" s="3" t="s">
        <v>3220</v>
      </c>
      <c r="G939" s="9">
        <v>26</v>
      </c>
      <c r="H939" s="66">
        <v>767</v>
      </c>
      <c r="I939" s="9">
        <v>33.736600000000003</v>
      </c>
      <c r="J939" s="10">
        <v>1.2975615384615387</v>
      </c>
      <c r="K939" s="66">
        <v>408.61076431308283</v>
      </c>
      <c r="L939" s="69">
        <v>1175.6107643130829</v>
      </c>
      <c r="M939" s="64">
        <v>0</v>
      </c>
      <c r="N939" s="67">
        <v>0</v>
      </c>
      <c r="O939" s="64">
        <f t="shared" si="28"/>
        <v>1175.6107643130829</v>
      </c>
      <c r="P939" s="64">
        <f t="shared" si="29"/>
        <v>45.215798627426267</v>
      </c>
    </row>
    <row r="940" spans="1:16" s="19" customFormat="1" ht="15">
      <c r="A940" s="3" t="str">
        <f>"058214"</f>
        <v>058214</v>
      </c>
      <c r="B940" s="3" t="s">
        <v>2799</v>
      </c>
      <c r="C940" s="61" t="s">
        <v>3302</v>
      </c>
      <c r="D940" s="3" t="s">
        <v>3249</v>
      </c>
      <c r="E940" s="3">
        <v>1</v>
      </c>
      <c r="F940" s="3" t="s">
        <v>3220</v>
      </c>
      <c r="G940" s="9">
        <v>153</v>
      </c>
      <c r="H940" s="66">
        <v>4513.5</v>
      </c>
      <c r="I940" s="9">
        <v>165.9674</v>
      </c>
      <c r="J940" s="10">
        <v>1.0847542483660131</v>
      </c>
      <c r="K940" s="66">
        <v>684.8769776327415</v>
      </c>
      <c r="L940" s="69">
        <v>5198.3769776327417</v>
      </c>
      <c r="M940" s="64">
        <v>0</v>
      </c>
      <c r="N940" s="67">
        <v>0</v>
      </c>
      <c r="O940" s="64">
        <f t="shared" si="28"/>
        <v>5198.3769776327417</v>
      </c>
      <c r="P940" s="64">
        <f t="shared" si="29"/>
        <v>33.976320115246679</v>
      </c>
    </row>
    <row r="941" spans="1:16" s="19" customFormat="1" ht="15">
      <c r="A941" s="3" t="str">
        <f>"070664"</f>
        <v>070664</v>
      </c>
      <c r="B941" s="3" t="s">
        <v>2782</v>
      </c>
      <c r="C941" s="61" t="s">
        <v>3287</v>
      </c>
      <c r="D941" s="3" t="s">
        <v>3249</v>
      </c>
      <c r="E941" s="3">
        <v>1</v>
      </c>
      <c r="F941" s="3" t="s">
        <v>3220</v>
      </c>
      <c r="G941" s="9">
        <v>262</v>
      </c>
      <c r="H941" s="66">
        <v>7729</v>
      </c>
      <c r="I941" s="9">
        <v>273.4862</v>
      </c>
      <c r="J941" s="10">
        <v>1.0438404580152671</v>
      </c>
      <c r="K941" s="66">
        <v>606.64697167398208</v>
      </c>
      <c r="L941" s="69">
        <v>8335.6469716739812</v>
      </c>
      <c r="M941" s="64">
        <v>0</v>
      </c>
      <c r="N941" s="67">
        <v>0</v>
      </c>
      <c r="O941" s="64">
        <f t="shared" si="28"/>
        <v>8335.6469716739812</v>
      </c>
      <c r="P941" s="64">
        <f t="shared" si="29"/>
        <v>31.815446456770921</v>
      </c>
    </row>
    <row r="942" spans="1:16" s="19" customFormat="1" ht="15">
      <c r="A942" s="3" t="str">
        <f>"052613"</f>
        <v>052613</v>
      </c>
      <c r="B942" s="3" t="s">
        <v>2594</v>
      </c>
      <c r="C942" s="61" t="s">
        <v>3287</v>
      </c>
      <c r="D942" s="3" t="s">
        <v>3249</v>
      </c>
      <c r="E942" s="3">
        <v>1</v>
      </c>
      <c r="F942" s="3" t="s">
        <v>3220</v>
      </c>
      <c r="G942" s="9">
        <v>254</v>
      </c>
      <c r="H942" s="66">
        <v>7493</v>
      </c>
      <c r="I942" s="9">
        <v>254</v>
      </c>
      <c r="J942" s="10">
        <v>1</v>
      </c>
      <c r="K942" s="66">
        <v>0</v>
      </c>
      <c r="L942" s="69">
        <v>7493</v>
      </c>
      <c r="M942" s="64">
        <v>0</v>
      </c>
      <c r="N942" s="67">
        <v>0</v>
      </c>
      <c r="O942" s="64">
        <f t="shared" si="28"/>
        <v>7493</v>
      </c>
      <c r="P942" s="64">
        <f t="shared" si="29"/>
        <v>29.5</v>
      </c>
    </row>
    <row r="943" spans="1:16" s="19" customFormat="1" ht="15">
      <c r="A943" s="3" t="s">
        <v>483</v>
      </c>
      <c r="B943" s="3" t="s">
        <v>484</v>
      </c>
      <c r="C943" s="61" t="s">
        <v>3287</v>
      </c>
      <c r="D943" s="3" t="s">
        <v>456</v>
      </c>
      <c r="E943" s="3">
        <v>1</v>
      </c>
      <c r="F943" s="3" t="s">
        <v>1897</v>
      </c>
      <c r="G943" s="9">
        <v>365.17744599999997</v>
      </c>
      <c r="H943" s="66">
        <v>10772.734656999999</v>
      </c>
      <c r="I943" s="9">
        <v>453.88239837374999</v>
      </c>
      <c r="J943" s="10">
        <v>1.2429091756497745</v>
      </c>
      <c r="K943" s="66">
        <v>4684.9776888805936</v>
      </c>
      <c r="L943" s="69">
        <v>15457.712345880593</v>
      </c>
      <c r="M943" s="64">
        <v>0</v>
      </c>
      <c r="N943" s="67">
        <v>0</v>
      </c>
      <c r="O943" s="64">
        <f t="shared" si="28"/>
        <v>15457.712345880593</v>
      </c>
      <c r="P943" s="64">
        <f t="shared" si="29"/>
        <v>42.329318294976503</v>
      </c>
    </row>
    <row r="944" spans="1:16" s="19" customFormat="1" ht="15">
      <c r="A944" s="3" t="str">
        <f>"133140"</f>
        <v>133140</v>
      </c>
      <c r="B944" s="3" t="s">
        <v>3040</v>
      </c>
      <c r="C944" s="61" t="s">
        <v>3287</v>
      </c>
      <c r="D944" s="3" t="s">
        <v>3249</v>
      </c>
      <c r="E944" s="3">
        <v>1</v>
      </c>
      <c r="F944" s="3" t="s">
        <v>3220</v>
      </c>
      <c r="G944" s="9">
        <v>449</v>
      </c>
      <c r="H944" s="66">
        <v>13245.5</v>
      </c>
      <c r="I944" s="9">
        <v>449</v>
      </c>
      <c r="J944" s="10">
        <v>1</v>
      </c>
      <c r="K944" s="66">
        <v>0</v>
      </c>
      <c r="L944" s="69">
        <v>13245.5</v>
      </c>
      <c r="M944" s="64">
        <v>0</v>
      </c>
      <c r="N944" s="67">
        <v>0</v>
      </c>
      <c r="O944" s="64">
        <f t="shared" si="28"/>
        <v>13245.5</v>
      </c>
      <c r="P944" s="64">
        <f t="shared" si="29"/>
        <v>29.5</v>
      </c>
    </row>
    <row r="945" spans="1:16" s="19" customFormat="1" ht="15">
      <c r="A945" s="3" t="s">
        <v>892</v>
      </c>
      <c r="B945" s="3" t="s">
        <v>893</v>
      </c>
      <c r="C945" s="61" t="s">
        <v>3287</v>
      </c>
      <c r="D945" s="3" t="s">
        <v>3248</v>
      </c>
      <c r="E945" s="3">
        <v>1</v>
      </c>
      <c r="F945" s="3" t="s">
        <v>1905</v>
      </c>
      <c r="G945" s="9">
        <v>684.94296499999996</v>
      </c>
      <c r="H945" s="66">
        <v>20205.817467499997</v>
      </c>
      <c r="I945" s="9">
        <v>803.37899330819903</v>
      </c>
      <c r="J945" s="10">
        <v>1.1729137086738297</v>
      </c>
      <c r="K945" s="66">
        <v>6255.2330544708429</v>
      </c>
      <c r="L945" s="69">
        <v>26461.050521970839</v>
      </c>
      <c r="M945" s="64">
        <v>0</v>
      </c>
      <c r="N945" s="67">
        <v>0</v>
      </c>
      <c r="O945" s="64">
        <f t="shared" si="28"/>
        <v>26461.050521970839</v>
      </c>
      <c r="P945" s="64">
        <f t="shared" si="29"/>
        <v>38.632487483057574</v>
      </c>
    </row>
    <row r="946" spans="1:16" s="19" customFormat="1" ht="15">
      <c r="A946" s="3" t="str">
        <f>"094250"</f>
        <v>094250</v>
      </c>
      <c r="B946" s="3" t="s">
        <v>2676</v>
      </c>
      <c r="C946" s="61" t="s">
        <v>3287</v>
      </c>
      <c r="D946" s="3" t="s">
        <v>3249</v>
      </c>
      <c r="E946" s="3">
        <v>1</v>
      </c>
      <c r="F946" s="3" t="s">
        <v>3220</v>
      </c>
      <c r="G946" s="9">
        <v>109</v>
      </c>
      <c r="H946" s="66">
        <v>3215.5</v>
      </c>
      <c r="I946" s="9">
        <v>111.9496</v>
      </c>
      <c r="J946" s="10">
        <v>1.0270605504587156</v>
      </c>
      <c r="K946" s="66">
        <v>155.78397621925271</v>
      </c>
      <c r="L946" s="69">
        <v>3371.2839762192525</v>
      </c>
      <c r="M946" s="64">
        <v>0</v>
      </c>
      <c r="N946" s="67">
        <v>0</v>
      </c>
      <c r="O946" s="64">
        <f t="shared" si="28"/>
        <v>3371.2839762192525</v>
      </c>
      <c r="P946" s="64">
        <f t="shared" si="29"/>
        <v>30.929210791002316</v>
      </c>
    </row>
    <row r="947" spans="1:16" s="19" customFormat="1" ht="15">
      <c r="A947" s="3" t="s">
        <v>1692</v>
      </c>
      <c r="B947" s="3" t="s">
        <v>1888</v>
      </c>
      <c r="C947" s="61" t="s">
        <v>3287</v>
      </c>
      <c r="D947" s="3" t="s">
        <v>1673</v>
      </c>
      <c r="E947" s="3">
        <v>1</v>
      </c>
      <c r="F947" s="3" t="s">
        <v>1673</v>
      </c>
      <c r="G947" s="9">
        <v>177.59781599999999</v>
      </c>
      <c r="H947" s="66">
        <v>5239.1355720000001</v>
      </c>
      <c r="I947" s="9">
        <v>199.63506113656601</v>
      </c>
      <c r="J947" s="10">
        <v>1.1240851133921941</v>
      </c>
      <c r="K947" s="66">
        <v>1163.9034690441542</v>
      </c>
      <c r="L947" s="69">
        <v>6403.0390410441541</v>
      </c>
      <c r="M947" s="64">
        <v>0</v>
      </c>
      <c r="N947" s="67">
        <v>0</v>
      </c>
      <c r="O947" s="64">
        <f t="shared" si="28"/>
        <v>6403.0390410441541</v>
      </c>
      <c r="P947" s="64">
        <f t="shared" si="29"/>
        <v>36.053591115355573</v>
      </c>
    </row>
    <row r="948" spans="1:16" s="19" customFormat="1" ht="15">
      <c r="A948" s="3" t="s">
        <v>1250</v>
      </c>
      <c r="B948" s="3" t="s">
        <v>1251</v>
      </c>
      <c r="C948" s="61" t="s">
        <v>3287</v>
      </c>
      <c r="D948" s="3" t="s">
        <v>3248</v>
      </c>
      <c r="E948" s="3">
        <v>1</v>
      </c>
      <c r="F948" s="3" t="s">
        <v>1906</v>
      </c>
      <c r="G948" s="9">
        <v>1185.3744610000001</v>
      </c>
      <c r="H948" s="66">
        <v>34968.546599500005</v>
      </c>
      <c r="I948" s="9">
        <v>1321.61393638707</v>
      </c>
      <c r="J948" s="10">
        <v>1.1149337022767778</v>
      </c>
      <c r="K948" s="66">
        <v>7195.5272558390052</v>
      </c>
      <c r="L948" s="69">
        <v>42164.073855339011</v>
      </c>
      <c r="M948" s="64">
        <v>836823.26030884159</v>
      </c>
      <c r="N948" s="67">
        <v>16773.537884056437</v>
      </c>
      <c r="O948" s="64">
        <f t="shared" si="28"/>
        <v>58937.611739395448</v>
      </c>
      <c r="P948" s="64">
        <f t="shared" si="29"/>
        <v>49.720669441177918</v>
      </c>
    </row>
    <row r="949" spans="1:16" s="19" customFormat="1" ht="15">
      <c r="A949" s="3" t="str">
        <f>"064394"</f>
        <v>064394</v>
      </c>
      <c r="B949" s="3" t="s">
        <v>2893</v>
      </c>
      <c r="C949" s="61" t="s">
        <v>3287</v>
      </c>
      <c r="D949" s="3" t="s">
        <v>3249</v>
      </c>
      <c r="E949" s="3">
        <v>1</v>
      </c>
      <c r="F949" s="3" t="s">
        <v>3220</v>
      </c>
      <c r="G949" s="9">
        <v>506</v>
      </c>
      <c r="H949" s="66">
        <v>14927</v>
      </c>
      <c r="I949" s="9">
        <v>537.29680000000008</v>
      </c>
      <c r="J949" s="10">
        <v>1.0618513833992096</v>
      </c>
      <c r="K949" s="66">
        <v>1652.9495344923764</v>
      </c>
      <c r="L949" s="69">
        <v>16579.949534492378</v>
      </c>
      <c r="M949" s="64">
        <v>0</v>
      </c>
      <c r="N949" s="67">
        <v>0</v>
      </c>
      <c r="O949" s="64">
        <f t="shared" si="28"/>
        <v>16579.949534492378</v>
      </c>
      <c r="P949" s="64">
        <f t="shared" si="29"/>
        <v>32.766698684767547</v>
      </c>
    </row>
    <row r="950" spans="1:16" s="19" customFormat="1" ht="15">
      <c r="A950" s="19">
        <v>70037</v>
      </c>
      <c r="B950" s="20" t="s">
        <v>1923</v>
      </c>
      <c r="C950" s="61" t="s">
        <v>3287</v>
      </c>
      <c r="D950" s="19" t="s">
        <v>1973</v>
      </c>
      <c r="E950" s="19">
        <v>1</v>
      </c>
      <c r="F950" s="19" t="s">
        <v>1974</v>
      </c>
      <c r="G950" s="9">
        <v>45.269999999999996</v>
      </c>
      <c r="H950" s="66">
        <v>1335.4649999999999</v>
      </c>
      <c r="I950" s="9">
        <v>204.79896600000001</v>
      </c>
      <c r="J950" s="10">
        <v>4.5239444665341288</v>
      </c>
      <c r="K950" s="66">
        <v>8425.5684315249327</v>
      </c>
      <c r="L950" s="69">
        <v>9761.0334315249329</v>
      </c>
      <c r="M950" s="64">
        <v>0</v>
      </c>
      <c r="N950" s="67">
        <v>0</v>
      </c>
      <c r="O950" s="64">
        <f t="shared" si="28"/>
        <v>9761.0334315249329</v>
      </c>
      <c r="P950" s="64">
        <f t="shared" si="29"/>
        <v>215.61814516290997</v>
      </c>
    </row>
    <row r="951" spans="1:16" s="19" customFormat="1" ht="15">
      <c r="A951" s="3" t="s">
        <v>1252</v>
      </c>
      <c r="B951" s="3" t="s">
        <v>1874</v>
      </c>
      <c r="C951" s="61" t="s">
        <v>3287</v>
      </c>
      <c r="D951" s="3" t="s">
        <v>3248</v>
      </c>
      <c r="E951" s="3">
        <v>1</v>
      </c>
      <c r="F951" s="3" t="s">
        <v>1905</v>
      </c>
      <c r="G951" s="9">
        <v>2985.3092240000001</v>
      </c>
      <c r="H951" s="66">
        <v>88066.622107999996</v>
      </c>
      <c r="I951" s="9">
        <v>3576.9698379668298</v>
      </c>
      <c r="J951" s="10">
        <v>1.1981907298615004</v>
      </c>
      <c r="K951" s="66">
        <v>31248.726273419084</v>
      </c>
      <c r="L951" s="69">
        <v>119315.34838141908</v>
      </c>
      <c r="M951" s="64">
        <v>1557414.2837562675</v>
      </c>
      <c r="N951" s="67">
        <v>31217.281747301316</v>
      </c>
      <c r="O951" s="64">
        <f t="shared" si="28"/>
        <v>150532.6301287204</v>
      </c>
      <c r="P951" s="64">
        <f t="shared" si="29"/>
        <v>50.42446823214599</v>
      </c>
    </row>
    <row r="952" spans="1:16" s="19" customFormat="1" ht="15">
      <c r="A952" s="3" t="str">
        <f>"057539"</f>
        <v>057539</v>
      </c>
      <c r="B952" s="3" t="s">
        <v>2794</v>
      </c>
      <c r="C952" s="61" t="s">
        <v>3287</v>
      </c>
      <c r="D952" s="3" t="s">
        <v>3249</v>
      </c>
      <c r="E952" s="3">
        <v>1</v>
      </c>
      <c r="F952" s="3" t="s">
        <v>3220</v>
      </c>
      <c r="G952" s="9">
        <v>354</v>
      </c>
      <c r="H952" s="66">
        <v>10443</v>
      </c>
      <c r="I952" s="9">
        <v>369.02359999999999</v>
      </c>
      <c r="J952" s="10">
        <v>1.0424395480225987</v>
      </c>
      <c r="K952" s="66">
        <v>793.47577472455919</v>
      </c>
      <c r="L952" s="69">
        <v>11236.475774724559</v>
      </c>
      <c r="M952" s="64">
        <v>0</v>
      </c>
      <c r="N952" s="67">
        <v>0</v>
      </c>
      <c r="O952" s="64">
        <f t="shared" si="28"/>
        <v>11236.475774724559</v>
      </c>
      <c r="P952" s="64">
        <f t="shared" si="29"/>
        <v>31.741456990747341</v>
      </c>
    </row>
    <row r="953" spans="1:16" s="19" customFormat="1" ht="15">
      <c r="A953" s="3" t="str">
        <f>"018003"</f>
        <v>018003</v>
      </c>
      <c r="B953" s="3" t="s">
        <v>2602</v>
      </c>
      <c r="C953" s="61" t="s">
        <v>3287</v>
      </c>
      <c r="D953" s="3" t="s">
        <v>3249</v>
      </c>
      <c r="E953" s="3">
        <v>1</v>
      </c>
      <c r="F953" s="3" t="s">
        <v>3220</v>
      </c>
      <c r="G953" s="9">
        <v>128</v>
      </c>
      <c r="H953" s="66">
        <v>3776</v>
      </c>
      <c r="I953" s="9">
        <v>128</v>
      </c>
      <c r="J953" s="10">
        <v>1</v>
      </c>
      <c r="K953" s="66">
        <v>0</v>
      </c>
      <c r="L953" s="69">
        <v>3776</v>
      </c>
      <c r="M953" s="64">
        <v>0</v>
      </c>
      <c r="N953" s="67">
        <v>0</v>
      </c>
      <c r="O953" s="64">
        <f t="shared" si="28"/>
        <v>3776</v>
      </c>
      <c r="P953" s="64">
        <f t="shared" si="29"/>
        <v>29.5</v>
      </c>
    </row>
    <row r="954" spans="1:16" s="19" customFormat="1" ht="15">
      <c r="A954" s="3" t="s">
        <v>918</v>
      </c>
      <c r="B954" s="3" t="s">
        <v>919</v>
      </c>
      <c r="C954" s="61" t="s">
        <v>3287</v>
      </c>
      <c r="D954" s="3" t="s">
        <v>3248</v>
      </c>
      <c r="E954" s="3">
        <v>1</v>
      </c>
      <c r="F954" s="3" t="s">
        <v>1906</v>
      </c>
      <c r="G954" s="9">
        <v>7646.1555429999999</v>
      </c>
      <c r="H954" s="66">
        <v>225561.58851850001</v>
      </c>
      <c r="I954" s="9">
        <v>9425.6815643071895</v>
      </c>
      <c r="J954" s="10">
        <v>1.2327347398701995</v>
      </c>
      <c r="K954" s="66">
        <v>93986.180968558532</v>
      </c>
      <c r="L954" s="69">
        <v>319547.76948705851</v>
      </c>
      <c r="M954" s="64">
        <v>5169138.0211976096</v>
      </c>
      <c r="N954" s="67">
        <v>103611.76193223287</v>
      </c>
      <c r="O954" s="64">
        <f t="shared" si="28"/>
        <v>423159.53141929139</v>
      </c>
      <c r="P954" s="64">
        <f t="shared" si="29"/>
        <v>55.342783577910716</v>
      </c>
    </row>
    <row r="955" spans="1:16" s="19" customFormat="1" ht="15">
      <c r="A955" s="3" t="str">
        <f>"090464"</f>
        <v>090464</v>
      </c>
      <c r="B955" s="3" t="s">
        <v>2709</v>
      </c>
      <c r="C955" s="61" t="s">
        <v>3287</v>
      </c>
      <c r="D955" s="3" t="s">
        <v>3249</v>
      </c>
      <c r="E955" s="3">
        <v>1</v>
      </c>
      <c r="F955" s="3" t="s">
        <v>3220</v>
      </c>
      <c r="G955" s="9">
        <v>151</v>
      </c>
      <c r="H955" s="66">
        <v>4454.5</v>
      </c>
      <c r="I955" s="9">
        <v>161.46180000000001</v>
      </c>
      <c r="J955" s="10">
        <v>1.0692834437086094</v>
      </c>
      <c r="K955" s="66">
        <v>552.54298969710385</v>
      </c>
      <c r="L955" s="69">
        <v>5007.0429896971036</v>
      </c>
      <c r="M955" s="64">
        <v>0</v>
      </c>
      <c r="N955" s="67">
        <v>0</v>
      </c>
      <c r="O955" s="64">
        <f t="shared" si="28"/>
        <v>5007.0429896971036</v>
      </c>
      <c r="P955" s="64">
        <f t="shared" si="29"/>
        <v>33.159225097331813</v>
      </c>
    </row>
    <row r="956" spans="1:16" s="19" customFormat="1" ht="15">
      <c r="A956" s="3" t="s">
        <v>751</v>
      </c>
      <c r="B956" s="3" t="s">
        <v>752</v>
      </c>
      <c r="C956" s="61" t="s">
        <v>3287</v>
      </c>
      <c r="D956" s="3" t="s">
        <v>3248</v>
      </c>
      <c r="E956" s="3">
        <v>1</v>
      </c>
      <c r="F956" s="3" t="s">
        <v>1909</v>
      </c>
      <c r="G956" s="9">
        <v>2882.7111220000002</v>
      </c>
      <c r="H956" s="66">
        <v>85039.978099</v>
      </c>
      <c r="I956" s="9">
        <v>4070.0764472615101</v>
      </c>
      <c r="J956" s="10">
        <v>1.4118918875359685</v>
      </c>
      <c r="K956" s="66">
        <v>62711.042715657735</v>
      </c>
      <c r="L956" s="69">
        <v>147751.02081465774</v>
      </c>
      <c r="M956" s="64">
        <v>1118729.4469675904</v>
      </c>
      <c r="N956" s="67">
        <v>22424.150535436685</v>
      </c>
      <c r="O956" s="64">
        <f t="shared" si="28"/>
        <v>170175.17135009443</v>
      </c>
      <c r="P956" s="64">
        <f t="shared" si="29"/>
        <v>59.033029723779038</v>
      </c>
    </row>
    <row r="957" spans="1:16" ht="15">
      <c r="A957" s="3" t="s">
        <v>1255</v>
      </c>
      <c r="B957" s="3" t="s">
        <v>963</v>
      </c>
      <c r="C957" s="61" t="s">
        <v>3287</v>
      </c>
      <c r="D957" s="3" t="s">
        <v>3248</v>
      </c>
      <c r="E957" s="3">
        <v>1</v>
      </c>
      <c r="F957" s="3" t="s">
        <v>1906</v>
      </c>
      <c r="G957" s="9">
        <v>1608.1625329999999</v>
      </c>
      <c r="H957" s="66">
        <v>47440.794723499996</v>
      </c>
      <c r="I957" s="9">
        <v>1817.3721298616899</v>
      </c>
      <c r="J957" s="10">
        <v>1.1300923212477865</v>
      </c>
      <c r="K957" s="66">
        <v>11049.465304563641</v>
      </c>
      <c r="L957" s="69">
        <v>58490.26002806364</v>
      </c>
      <c r="M957" s="64">
        <v>929035.15044920798</v>
      </c>
      <c r="N957" s="67">
        <v>18621.860828687597</v>
      </c>
      <c r="O957" s="64">
        <f t="shared" si="28"/>
        <v>77112.120856751237</v>
      </c>
      <c r="P957" s="64">
        <f t="shared" si="29"/>
        <v>47.950452317092527</v>
      </c>
    </row>
    <row r="958" spans="1:16" ht="15">
      <c r="A958" s="3" t="s">
        <v>1253</v>
      </c>
      <c r="B958" s="3" t="s">
        <v>1254</v>
      </c>
      <c r="C958" s="61" t="s">
        <v>3287</v>
      </c>
      <c r="D958" s="3" t="s">
        <v>3248</v>
      </c>
      <c r="E958" s="3">
        <v>1</v>
      </c>
      <c r="F958" s="3" t="s">
        <v>1906</v>
      </c>
      <c r="G958" s="9">
        <v>3873.565263</v>
      </c>
      <c r="H958" s="66">
        <v>114270.17525849999</v>
      </c>
      <c r="I958" s="9">
        <v>4481.6028877691397</v>
      </c>
      <c r="J958" s="10">
        <v>1.1569710546965786</v>
      </c>
      <c r="K958" s="66">
        <v>32113.682830704649</v>
      </c>
      <c r="L958" s="69">
        <v>146383.85808920464</v>
      </c>
      <c r="M958" s="64">
        <v>3287239.5773396841</v>
      </c>
      <c r="N958" s="67">
        <v>65890.421788857973</v>
      </c>
      <c r="O958" s="64">
        <f t="shared" si="28"/>
        <v>212274.2798780626</v>
      </c>
      <c r="P958" s="64">
        <f t="shared" si="29"/>
        <v>54.800749558989061</v>
      </c>
    </row>
    <row r="959" spans="1:16" ht="15">
      <c r="A959" s="3" t="str">
        <f>"057422"</f>
        <v>057422</v>
      </c>
      <c r="B959" s="3" t="s">
        <v>2701</v>
      </c>
      <c r="C959" s="61" t="s">
        <v>3287</v>
      </c>
      <c r="D959" s="3" t="s">
        <v>3249</v>
      </c>
      <c r="E959" s="3">
        <v>1</v>
      </c>
      <c r="F959" s="3" t="s">
        <v>3220</v>
      </c>
      <c r="G959" s="9">
        <v>504</v>
      </c>
      <c r="H959" s="66">
        <v>14868</v>
      </c>
      <c r="I959" s="9">
        <v>511.32439999999997</v>
      </c>
      <c r="J959" s="10">
        <v>1.0145325396825395</v>
      </c>
      <c r="K959" s="66">
        <v>386.84030221734741</v>
      </c>
      <c r="L959" s="69">
        <v>15254.840302217348</v>
      </c>
      <c r="M959" s="64">
        <v>0</v>
      </c>
      <c r="N959" s="67">
        <v>0</v>
      </c>
      <c r="O959" s="64">
        <f t="shared" si="28"/>
        <v>15254.840302217348</v>
      </c>
      <c r="P959" s="64">
        <f t="shared" si="29"/>
        <v>30.267540282177279</v>
      </c>
    </row>
    <row r="960" spans="1:16" ht="15">
      <c r="A960" s="3" t="str">
        <f>"057430"</f>
        <v>057430</v>
      </c>
      <c r="B960" s="3" t="s">
        <v>2854</v>
      </c>
      <c r="C960" s="61" t="s">
        <v>3287</v>
      </c>
      <c r="D960" s="3" t="s">
        <v>3249</v>
      </c>
      <c r="E960" s="3">
        <v>1</v>
      </c>
      <c r="F960" s="3" t="s">
        <v>3220</v>
      </c>
      <c r="G960" s="9">
        <v>293</v>
      </c>
      <c r="H960" s="66">
        <v>8643.5</v>
      </c>
      <c r="I960" s="9">
        <v>309.68540000000002</v>
      </c>
      <c r="J960" s="10">
        <v>1.0569467576791809</v>
      </c>
      <c r="K960" s="66">
        <v>881.24422186354695</v>
      </c>
      <c r="L960" s="69">
        <v>9524.7442218635479</v>
      </c>
      <c r="M960" s="64">
        <v>0</v>
      </c>
      <c r="N960" s="67">
        <v>0</v>
      </c>
      <c r="O960" s="64">
        <f t="shared" si="28"/>
        <v>9524.7442218635479</v>
      </c>
      <c r="P960" s="64">
        <f t="shared" si="29"/>
        <v>32.507659460285147</v>
      </c>
    </row>
    <row r="961" spans="1:16" ht="15">
      <c r="A961" s="3" t="s">
        <v>91</v>
      </c>
      <c r="B961" s="3" t="s">
        <v>92</v>
      </c>
      <c r="C961" s="61" t="s">
        <v>3287</v>
      </c>
      <c r="D961" s="3" t="s">
        <v>1684</v>
      </c>
      <c r="E961" s="3">
        <v>1</v>
      </c>
      <c r="F961" s="3" t="s">
        <v>3266</v>
      </c>
      <c r="G961" s="9">
        <v>75.323355000000006</v>
      </c>
      <c r="H961" s="66">
        <v>2222.0389725</v>
      </c>
      <c r="I961" s="9">
        <v>188.43828563873299</v>
      </c>
      <c r="J961" s="10">
        <v>2.5017245400013444</v>
      </c>
      <c r="K961" s="66">
        <v>5974.1977436488924</v>
      </c>
      <c r="L961" s="69">
        <v>8196.2367161488928</v>
      </c>
      <c r="M961" s="64">
        <v>0</v>
      </c>
      <c r="N961" s="67">
        <v>0</v>
      </c>
      <c r="O961" s="64">
        <f t="shared" si="28"/>
        <v>8196.2367161488928</v>
      </c>
      <c r="P961" s="64">
        <f t="shared" si="29"/>
        <v>108.81401546902541</v>
      </c>
    </row>
    <row r="962" spans="1:16" ht="15">
      <c r="A962" s="3" t="str">
        <f>"053918"</f>
        <v>053918</v>
      </c>
      <c r="B962" s="3" t="s">
        <v>3138</v>
      </c>
      <c r="C962" s="61" t="s">
        <v>3287</v>
      </c>
      <c r="D962" s="3" t="s">
        <v>3249</v>
      </c>
      <c r="E962" s="3">
        <v>1</v>
      </c>
      <c r="F962" s="3" t="s">
        <v>3220</v>
      </c>
      <c r="G962" s="9">
        <v>129</v>
      </c>
      <c r="H962" s="66">
        <v>3805.5</v>
      </c>
      <c r="I962" s="9">
        <v>129</v>
      </c>
      <c r="J962" s="10">
        <v>1</v>
      </c>
      <c r="K962" s="66">
        <v>0</v>
      </c>
      <c r="L962" s="69">
        <v>3805.5</v>
      </c>
      <c r="M962" s="64">
        <v>0</v>
      </c>
      <c r="N962" s="67">
        <v>0</v>
      </c>
      <c r="O962" s="64">
        <f t="shared" si="28"/>
        <v>3805.5</v>
      </c>
      <c r="P962" s="64">
        <f t="shared" si="29"/>
        <v>29.5</v>
      </c>
    </row>
    <row r="963" spans="1:16" ht="15">
      <c r="A963" s="3" t="s">
        <v>838</v>
      </c>
      <c r="B963" s="3" t="s">
        <v>839</v>
      </c>
      <c r="C963" s="61" t="s">
        <v>3287</v>
      </c>
      <c r="D963" s="3" t="s">
        <v>3248</v>
      </c>
      <c r="E963" s="3">
        <v>1</v>
      </c>
      <c r="F963" s="3" t="s">
        <v>1909</v>
      </c>
      <c r="G963" s="9">
        <v>1265.981841</v>
      </c>
      <c r="H963" s="66">
        <v>37346.464309499999</v>
      </c>
      <c r="I963" s="9">
        <v>1551.0945542156801</v>
      </c>
      <c r="J963" s="10">
        <v>1.2252107447216378</v>
      </c>
      <c r="K963" s="66">
        <v>15058.310325263785</v>
      </c>
      <c r="L963" s="69">
        <v>52404.774634763788</v>
      </c>
      <c r="M963" s="64">
        <v>416263.0380839993</v>
      </c>
      <c r="N963" s="67">
        <v>8343.701914377365</v>
      </c>
      <c r="O963" s="64">
        <f t="shared" ref="O963:O1026" si="30">(N963+L963)</f>
        <v>60748.476549141153</v>
      </c>
      <c r="P963" s="64">
        <f t="shared" ref="P963:P1026" si="31">O963/G963</f>
        <v>47.985266914378393</v>
      </c>
    </row>
    <row r="964" spans="1:16" ht="15">
      <c r="A964" s="3" t="str">
        <f>"112680"</f>
        <v>112680</v>
      </c>
      <c r="B964" s="3" t="s">
        <v>3080</v>
      </c>
      <c r="C964" s="61" t="s">
        <v>3287</v>
      </c>
      <c r="D964" s="3" t="s">
        <v>3249</v>
      </c>
      <c r="E964" s="3">
        <v>1</v>
      </c>
      <c r="F964" s="3" t="s">
        <v>3220</v>
      </c>
      <c r="G964" s="9">
        <v>5</v>
      </c>
      <c r="H964" s="66">
        <v>147.5</v>
      </c>
      <c r="I964" s="9">
        <v>5</v>
      </c>
      <c r="J964" s="10">
        <v>1</v>
      </c>
      <c r="K964" s="66">
        <v>0</v>
      </c>
      <c r="L964" s="69">
        <v>147.5</v>
      </c>
      <c r="M964" s="64">
        <v>0</v>
      </c>
      <c r="N964" s="67">
        <v>0</v>
      </c>
      <c r="O964" s="64">
        <f t="shared" si="30"/>
        <v>147.5</v>
      </c>
      <c r="P964" s="64">
        <f t="shared" si="31"/>
        <v>29.5</v>
      </c>
    </row>
    <row r="965" spans="1:16" ht="15">
      <c r="A965" s="3" t="s">
        <v>842</v>
      </c>
      <c r="B965" s="3" t="s">
        <v>843</v>
      </c>
      <c r="C965" s="61" t="s">
        <v>3287</v>
      </c>
      <c r="D965" s="3" t="s">
        <v>3248</v>
      </c>
      <c r="E965" s="3">
        <v>1</v>
      </c>
      <c r="F965" s="3" t="s">
        <v>1906</v>
      </c>
      <c r="G965" s="9">
        <v>7661.7893670000003</v>
      </c>
      <c r="H965" s="66">
        <v>226022.78632650001</v>
      </c>
      <c r="I965" s="9">
        <v>9515.8875716720504</v>
      </c>
      <c r="J965" s="10">
        <v>1.2419928447338704</v>
      </c>
      <c r="K965" s="66">
        <v>97924.732378895234</v>
      </c>
      <c r="L965" s="69">
        <v>323947.51870539522</v>
      </c>
      <c r="M965" s="64">
        <v>4779222.1946943812</v>
      </c>
      <c r="N965" s="67">
        <v>95796.171475257186</v>
      </c>
      <c r="O965" s="64">
        <f t="shared" si="30"/>
        <v>419743.69018065243</v>
      </c>
      <c r="P965" s="64">
        <f t="shared" si="31"/>
        <v>54.784028909555431</v>
      </c>
    </row>
    <row r="966" spans="1:16" ht="15">
      <c r="A966" s="3" t="s">
        <v>878</v>
      </c>
      <c r="B966" s="3" t="s">
        <v>879</v>
      </c>
      <c r="C966" s="61" t="s">
        <v>3355</v>
      </c>
      <c r="D966" s="3" t="s">
        <v>3248</v>
      </c>
      <c r="E966" s="3">
        <v>1</v>
      </c>
      <c r="F966" s="3" t="s">
        <v>3224</v>
      </c>
      <c r="G966" s="9">
        <v>1287.1711190000001</v>
      </c>
      <c r="H966" s="66">
        <v>37971.548010500002</v>
      </c>
      <c r="I966" s="9">
        <v>1656.99264812911</v>
      </c>
      <c r="J966" s="10">
        <v>1.2873134144094402</v>
      </c>
      <c r="K966" s="66">
        <v>19532.230912400613</v>
      </c>
      <c r="L966" s="69">
        <v>57503.778922900616</v>
      </c>
      <c r="M966" s="64">
        <v>885307.04524427676</v>
      </c>
      <c r="N966" s="67">
        <v>17745.361495982364</v>
      </c>
      <c r="O966" s="64">
        <f t="shared" si="30"/>
        <v>75249.140418882977</v>
      </c>
      <c r="P966" s="64">
        <f t="shared" si="31"/>
        <v>58.460867640771681</v>
      </c>
    </row>
    <row r="967" spans="1:16" ht="15">
      <c r="A967" s="3" t="s">
        <v>1256</v>
      </c>
      <c r="B967" s="3" t="s">
        <v>1257</v>
      </c>
      <c r="C967" s="61" t="s">
        <v>3355</v>
      </c>
      <c r="D967" s="3" t="s">
        <v>3248</v>
      </c>
      <c r="E967" s="3">
        <v>1</v>
      </c>
      <c r="F967" s="3" t="s">
        <v>3224</v>
      </c>
      <c r="G967" s="9">
        <v>1078.6332600000001</v>
      </c>
      <c r="H967" s="66">
        <v>31819.681170000003</v>
      </c>
      <c r="I967" s="9">
        <v>1552.0246592471699</v>
      </c>
      <c r="J967" s="10">
        <v>1.4388807732919062</v>
      </c>
      <c r="K967" s="66">
        <v>25002.303526823896</v>
      </c>
      <c r="L967" s="69">
        <v>56821.9846968239</v>
      </c>
      <c r="M967" s="64">
        <v>773746.11920509546</v>
      </c>
      <c r="N967" s="67">
        <v>15509.200638541563</v>
      </c>
      <c r="O967" s="64">
        <f t="shared" si="30"/>
        <v>72331.185335365459</v>
      </c>
      <c r="P967" s="64">
        <f t="shared" si="31"/>
        <v>67.0581818841424</v>
      </c>
    </row>
    <row r="968" spans="1:16" ht="15">
      <c r="A968" s="3" t="s">
        <v>1258</v>
      </c>
      <c r="B968" s="3" t="s">
        <v>1875</v>
      </c>
      <c r="C968" s="61" t="s">
        <v>3355</v>
      </c>
      <c r="D968" s="3" t="s">
        <v>3248</v>
      </c>
      <c r="E968" s="3">
        <v>1</v>
      </c>
      <c r="F968" s="3" t="s">
        <v>1904</v>
      </c>
      <c r="G968" s="9">
        <v>1561.7303629999999</v>
      </c>
      <c r="H968" s="66">
        <v>46071.045708499994</v>
      </c>
      <c r="I968" s="9">
        <v>1904.7943234525101</v>
      </c>
      <c r="J968" s="10">
        <v>1.2196691366065924</v>
      </c>
      <c r="K968" s="66">
        <v>18119.022191760381</v>
      </c>
      <c r="L968" s="69">
        <v>64190.067900260372</v>
      </c>
      <c r="M968" s="64">
        <v>639009.57236784697</v>
      </c>
      <c r="N968" s="67">
        <v>12808.500646159127</v>
      </c>
      <c r="O968" s="64">
        <f t="shared" si="30"/>
        <v>76998.568546419498</v>
      </c>
      <c r="P968" s="64">
        <f t="shared" si="31"/>
        <v>49.30336911585006</v>
      </c>
    </row>
    <row r="969" spans="1:16" ht="15">
      <c r="A969" s="3" t="s">
        <v>661</v>
      </c>
      <c r="B969" s="3" t="s">
        <v>1857</v>
      </c>
      <c r="C969" s="61" t="s">
        <v>3355</v>
      </c>
      <c r="D969" s="3" t="s">
        <v>3248</v>
      </c>
      <c r="E969" s="3">
        <v>1</v>
      </c>
      <c r="F969" s="3" t="s">
        <v>1905</v>
      </c>
      <c r="G969" s="9">
        <v>1328.105673</v>
      </c>
      <c r="H969" s="66">
        <v>39179.117353499998</v>
      </c>
      <c r="I969" s="9">
        <v>1787.3371614609</v>
      </c>
      <c r="J969" s="10">
        <v>1.3457793290074291</v>
      </c>
      <c r="K969" s="66">
        <v>24254.443747465677</v>
      </c>
      <c r="L969" s="69">
        <v>63433.561100965671</v>
      </c>
      <c r="M969" s="64">
        <v>1055195.8635439544</v>
      </c>
      <c r="N969" s="67">
        <v>21150.664222361556</v>
      </c>
      <c r="O969" s="64">
        <f t="shared" si="30"/>
        <v>84584.225323327235</v>
      </c>
      <c r="P969" s="64">
        <f t="shared" si="31"/>
        <v>63.687872917720178</v>
      </c>
    </row>
    <row r="970" spans="1:16" ht="15">
      <c r="A970" s="3" t="s">
        <v>485</v>
      </c>
      <c r="B970" s="3" t="s">
        <v>486</v>
      </c>
      <c r="C970" s="61" t="s">
        <v>3355</v>
      </c>
      <c r="D970" s="3" t="s">
        <v>456</v>
      </c>
      <c r="E970" s="3">
        <v>1</v>
      </c>
      <c r="F970" s="3" t="s">
        <v>1897</v>
      </c>
      <c r="G970" s="9">
        <v>567.04812300000003</v>
      </c>
      <c r="H970" s="66">
        <v>16727.9196285</v>
      </c>
      <c r="I970" s="9">
        <v>825.81708965214898</v>
      </c>
      <c r="J970" s="10">
        <v>1.4563439259495599</v>
      </c>
      <c r="K970" s="66">
        <v>13666.957739089676</v>
      </c>
      <c r="L970" s="69">
        <v>30394.877367589674</v>
      </c>
      <c r="M970" s="64">
        <v>0</v>
      </c>
      <c r="N970" s="67">
        <v>0</v>
      </c>
      <c r="O970" s="64">
        <f t="shared" si="30"/>
        <v>30394.877367589674</v>
      </c>
      <c r="P970" s="64">
        <f t="shared" si="31"/>
        <v>53.601936299134302</v>
      </c>
    </row>
    <row r="971" spans="1:16" ht="15">
      <c r="A971" s="19">
        <v>71472</v>
      </c>
      <c r="B971" s="20" t="s">
        <v>1915</v>
      </c>
      <c r="C971" s="61" t="s">
        <v>3355</v>
      </c>
      <c r="D971" s="19" t="s">
        <v>1973</v>
      </c>
      <c r="E971" s="19">
        <v>1</v>
      </c>
      <c r="F971" s="19" t="s">
        <v>1974</v>
      </c>
      <c r="G971" s="9">
        <v>61.379999999999995</v>
      </c>
      <c r="H971" s="66">
        <v>1810.7099999999998</v>
      </c>
      <c r="I971" s="9">
        <v>293.40777400000002</v>
      </c>
      <c r="J971" s="10">
        <v>4.7801853046594989</v>
      </c>
      <c r="K971" s="66">
        <v>12254.613922912291</v>
      </c>
      <c r="L971" s="69">
        <v>14065.32392291229</v>
      </c>
      <c r="M971" s="64">
        <v>0</v>
      </c>
      <c r="N971" s="67">
        <v>0</v>
      </c>
      <c r="O971" s="64">
        <f t="shared" si="30"/>
        <v>14065.32392291229</v>
      </c>
      <c r="P971" s="64">
        <f t="shared" si="31"/>
        <v>229.15157906341301</v>
      </c>
    </row>
    <row r="972" spans="1:16" ht="15">
      <c r="A972" s="3" t="s">
        <v>1259</v>
      </c>
      <c r="B972" s="3" t="s">
        <v>1260</v>
      </c>
      <c r="C972" s="61" t="s">
        <v>3355</v>
      </c>
      <c r="D972" s="3" t="s">
        <v>3248</v>
      </c>
      <c r="E972" s="3">
        <v>1</v>
      </c>
      <c r="F972" s="3" t="s">
        <v>3224</v>
      </c>
      <c r="G972" s="9">
        <v>1377.8624500000001</v>
      </c>
      <c r="H972" s="66">
        <v>40646.942275000001</v>
      </c>
      <c r="I972" s="9">
        <v>2024.9467387766099</v>
      </c>
      <c r="J972" s="10">
        <v>1.4696290901726872</v>
      </c>
      <c r="K972" s="66">
        <v>34175.943671896966</v>
      </c>
      <c r="L972" s="69">
        <v>74822.885946896975</v>
      </c>
      <c r="M972" s="64">
        <v>1980818.3032629103</v>
      </c>
      <c r="N972" s="67">
        <v>39704.119647618951</v>
      </c>
      <c r="O972" s="64">
        <f t="shared" si="30"/>
        <v>114527.00559451593</v>
      </c>
      <c r="P972" s="64">
        <f t="shared" si="31"/>
        <v>83.119331392270624</v>
      </c>
    </row>
    <row r="973" spans="1:16" ht="15">
      <c r="A973" s="3" t="s">
        <v>1261</v>
      </c>
      <c r="B973" s="3" t="s">
        <v>1262</v>
      </c>
      <c r="C973" s="61" t="s">
        <v>3355</v>
      </c>
      <c r="D973" s="3" t="s">
        <v>3248</v>
      </c>
      <c r="E973" s="3">
        <v>1</v>
      </c>
      <c r="F973" s="3" t="s">
        <v>1905</v>
      </c>
      <c r="G973" s="9">
        <v>1516.9189409999999</v>
      </c>
      <c r="H973" s="66">
        <v>44749.108759499999</v>
      </c>
      <c r="I973" s="9">
        <v>2042.39957530277</v>
      </c>
      <c r="J973" s="10">
        <v>1.3464131273595654</v>
      </c>
      <c r="K973" s="66">
        <v>27753.4115262749</v>
      </c>
      <c r="L973" s="69">
        <v>72502.520285774895</v>
      </c>
      <c r="M973" s="64">
        <v>1206095.4956393931</v>
      </c>
      <c r="N973" s="67">
        <v>24175.341971769325</v>
      </c>
      <c r="O973" s="64">
        <f t="shared" si="30"/>
        <v>96677.862257544213</v>
      </c>
      <c r="P973" s="64">
        <f t="shared" si="31"/>
        <v>63.733044426099113</v>
      </c>
    </row>
    <row r="974" spans="1:16" ht="15">
      <c r="A974" s="3" t="str">
        <f>"053728"</f>
        <v>053728</v>
      </c>
      <c r="B974" s="3" t="s">
        <v>2680</v>
      </c>
      <c r="C974" s="61" t="s">
        <v>3355</v>
      </c>
      <c r="D974" s="3" t="s">
        <v>3249</v>
      </c>
      <c r="E974" s="3">
        <v>1</v>
      </c>
      <c r="F974" s="3" t="s">
        <v>3220</v>
      </c>
      <c r="G974" s="9">
        <v>60</v>
      </c>
      <c r="H974" s="66">
        <v>1770</v>
      </c>
      <c r="I974" s="9">
        <v>64.949600000000004</v>
      </c>
      <c r="J974" s="10">
        <v>1.0824933333333333</v>
      </c>
      <c r="K974" s="66">
        <v>261.4145540733702</v>
      </c>
      <c r="L974" s="69">
        <v>2031.4145540733703</v>
      </c>
      <c r="M974" s="64">
        <v>0</v>
      </c>
      <c r="N974" s="67">
        <v>0</v>
      </c>
      <c r="O974" s="64">
        <f t="shared" si="30"/>
        <v>2031.4145540733703</v>
      </c>
      <c r="P974" s="64">
        <f t="shared" si="31"/>
        <v>33.85690923455617</v>
      </c>
    </row>
    <row r="975" spans="1:16" ht="15">
      <c r="A975" s="3" t="str">
        <f>"058370"</f>
        <v>058370</v>
      </c>
      <c r="B975" s="3" t="s">
        <v>2667</v>
      </c>
      <c r="C975" s="61" t="s">
        <v>3355</v>
      </c>
      <c r="D975" s="3" t="s">
        <v>3249</v>
      </c>
      <c r="E975" s="3">
        <v>1</v>
      </c>
      <c r="F975" s="3" t="s">
        <v>3220</v>
      </c>
      <c r="G975" s="9">
        <v>96</v>
      </c>
      <c r="H975" s="66">
        <v>2832</v>
      </c>
      <c r="I975" s="9">
        <v>102.81219999999999</v>
      </c>
      <c r="J975" s="10">
        <v>1.0709604166666666</v>
      </c>
      <c r="K975" s="66">
        <v>359.78831122890909</v>
      </c>
      <c r="L975" s="69">
        <v>3191.7883112289092</v>
      </c>
      <c r="M975" s="64">
        <v>0</v>
      </c>
      <c r="N975" s="67">
        <v>0</v>
      </c>
      <c r="O975" s="64">
        <f t="shared" si="30"/>
        <v>3191.7883112289092</v>
      </c>
      <c r="P975" s="64">
        <f t="shared" si="31"/>
        <v>33.247794908634468</v>
      </c>
    </row>
    <row r="976" spans="1:16" ht="15">
      <c r="A976" s="3" t="s">
        <v>1263</v>
      </c>
      <c r="B976" s="3" t="s">
        <v>1264</v>
      </c>
      <c r="C976" s="61" t="s">
        <v>3355</v>
      </c>
      <c r="D976" s="3" t="s">
        <v>3248</v>
      </c>
      <c r="E976" s="3">
        <v>1</v>
      </c>
      <c r="F976" s="3" t="s">
        <v>3224</v>
      </c>
      <c r="G976" s="9">
        <v>760.19175900000005</v>
      </c>
      <c r="H976" s="66">
        <v>22425.656890500002</v>
      </c>
      <c r="I976" s="9">
        <v>1072.0584310664899</v>
      </c>
      <c r="J976" s="10">
        <v>1.4102473729480272</v>
      </c>
      <c r="K976" s="66">
        <v>16471.328391911946</v>
      </c>
      <c r="L976" s="69">
        <v>38896.985282411944</v>
      </c>
      <c r="M976" s="64">
        <v>1111149.843656328</v>
      </c>
      <c r="N976" s="67">
        <v>22272.222680036662</v>
      </c>
      <c r="O976" s="64">
        <f t="shared" si="30"/>
        <v>61169.207962448607</v>
      </c>
      <c r="P976" s="64">
        <f t="shared" si="31"/>
        <v>80.465497340978942</v>
      </c>
    </row>
    <row r="977" spans="1:16" ht="15">
      <c r="A977" s="3" t="s">
        <v>1762</v>
      </c>
      <c r="B977" s="3" t="s">
        <v>1889</v>
      </c>
      <c r="C977" s="61" t="s">
        <v>3355</v>
      </c>
      <c r="D977" s="3" t="s">
        <v>1673</v>
      </c>
      <c r="E977" s="3">
        <v>1</v>
      </c>
      <c r="F977" s="3" t="s">
        <v>1673</v>
      </c>
      <c r="G977" s="9">
        <v>65.531210000000002</v>
      </c>
      <c r="H977" s="66">
        <v>1933.170695</v>
      </c>
      <c r="I977" s="9">
        <v>72.059263031827896</v>
      </c>
      <c r="J977" s="10">
        <v>1.0996174652021211</v>
      </c>
      <c r="K977" s="66">
        <v>344.78100700715208</v>
      </c>
      <c r="L977" s="69">
        <v>2277.9517020071521</v>
      </c>
      <c r="M977" s="64">
        <v>0</v>
      </c>
      <c r="N977" s="67">
        <v>0</v>
      </c>
      <c r="O977" s="64">
        <f t="shared" si="30"/>
        <v>2277.9517020071521</v>
      </c>
      <c r="P977" s="64">
        <f t="shared" si="31"/>
        <v>34.761325206831252</v>
      </c>
    </row>
    <row r="978" spans="1:16" ht="15">
      <c r="A978" s="3" t="str">
        <f>"057570"</f>
        <v>057570</v>
      </c>
      <c r="B978" s="3" t="s">
        <v>2669</v>
      </c>
      <c r="C978" s="61" t="s">
        <v>3290</v>
      </c>
      <c r="D978" s="3" t="s">
        <v>3249</v>
      </c>
      <c r="E978" s="3">
        <v>1</v>
      </c>
      <c r="F978" s="3" t="s">
        <v>3220</v>
      </c>
      <c r="G978" s="9">
        <v>143</v>
      </c>
      <c r="H978" s="66">
        <v>4218.5</v>
      </c>
      <c r="I978" s="9">
        <v>146.81219999999999</v>
      </c>
      <c r="J978" s="10">
        <v>1.0266587412587411</v>
      </c>
      <c r="K978" s="66">
        <v>201.34244444773282</v>
      </c>
      <c r="L978" s="69">
        <v>4419.8424444477332</v>
      </c>
      <c r="M978" s="64">
        <v>0</v>
      </c>
      <c r="N978" s="67">
        <v>0</v>
      </c>
      <c r="O978" s="64">
        <f t="shared" si="30"/>
        <v>4419.8424444477332</v>
      </c>
      <c r="P978" s="64">
        <f t="shared" si="31"/>
        <v>30.907989122012122</v>
      </c>
    </row>
    <row r="979" spans="1:16" ht="15">
      <c r="A979" s="3" t="s">
        <v>487</v>
      </c>
      <c r="B979" s="3" t="s">
        <v>1846</v>
      </c>
      <c r="C979" s="61" t="s">
        <v>3290</v>
      </c>
      <c r="D979" s="3" t="s">
        <v>456</v>
      </c>
      <c r="E979" s="3">
        <v>1</v>
      </c>
      <c r="F979" s="3" t="s">
        <v>1897</v>
      </c>
      <c r="G979" s="9">
        <v>848.21859500000005</v>
      </c>
      <c r="H979" s="66">
        <v>25022.448552500002</v>
      </c>
      <c r="I979" s="9">
        <v>990.76300198127296</v>
      </c>
      <c r="J979" s="10">
        <v>1.168051499721334</v>
      </c>
      <c r="K979" s="66">
        <v>7528.5240396521795</v>
      </c>
      <c r="L979" s="69">
        <v>32550.972592152182</v>
      </c>
      <c r="M979" s="64">
        <v>0</v>
      </c>
      <c r="N979" s="67">
        <v>0</v>
      </c>
      <c r="O979" s="64">
        <f t="shared" si="30"/>
        <v>32550.972592152182</v>
      </c>
      <c r="P979" s="64">
        <f t="shared" si="31"/>
        <v>38.375688512407798</v>
      </c>
    </row>
    <row r="980" spans="1:16" ht="15">
      <c r="A980" s="3" t="str">
        <f>"126144"</f>
        <v>126144</v>
      </c>
      <c r="B980" s="3" t="s">
        <v>2785</v>
      </c>
      <c r="C980" s="61" t="s">
        <v>3290</v>
      </c>
      <c r="D980" s="3" t="s">
        <v>3249</v>
      </c>
      <c r="E980" s="3">
        <v>1</v>
      </c>
      <c r="F980" s="3" t="s">
        <v>3220</v>
      </c>
      <c r="G980" s="9">
        <v>232</v>
      </c>
      <c r="H980" s="66">
        <v>6844</v>
      </c>
      <c r="I980" s="9">
        <v>242.3236</v>
      </c>
      <c r="J980" s="10">
        <v>1.0444982758620689</v>
      </c>
      <c r="K980" s="66">
        <v>545.24391676738367</v>
      </c>
      <c r="L980" s="69">
        <v>7389.2439167673838</v>
      </c>
      <c r="M980" s="64">
        <v>0</v>
      </c>
      <c r="N980" s="67">
        <v>0</v>
      </c>
      <c r="O980" s="64">
        <f t="shared" si="30"/>
        <v>7389.2439167673838</v>
      </c>
      <c r="P980" s="64">
        <f t="shared" si="31"/>
        <v>31.850189296411138</v>
      </c>
    </row>
    <row r="981" spans="1:16" ht="15">
      <c r="A981" s="3" t="s">
        <v>898</v>
      </c>
      <c r="B981" s="3" t="s">
        <v>899</v>
      </c>
      <c r="C981" s="61" t="s">
        <v>3290</v>
      </c>
      <c r="D981" s="3" t="s">
        <v>3248</v>
      </c>
      <c r="E981" s="3">
        <v>1</v>
      </c>
      <c r="F981" s="3" t="s">
        <v>1907</v>
      </c>
      <c r="G981" s="9">
        <v>2424.201881</v>
      </c>
      <c r="H981" s="66">
        <v>71513.955489500004</v>
      </c>
      <c r="I981" s="9">
        <v>2802.0286367642898</v>
      </c>
      <c r="J981" s="10">
        <v>1.1558561433045476</v>
      </c>
      <c r="K981" s="66">
        <v>19955.029270064228</v>
      </c>
      <c r="L981" s="69">
        <v>91468.984759564235</v>
      </c>
      <c r="M981" s="64">
        <v>1447314.6054004636</v>
      </c>
      <c r="N981" s="67">
        <v>29010.410579258096</v>
      </c>
      <c r="O981" s="64">
        <f t="shared" si="30"/>
        <v>120479.39533882233</v>
      </c>
      <c r="P981" s="64">
        <f t="shared" si="31"/>
        <v>49.698581740693868</v>
      </c>
    </row>
    <row r="982" spans="1:16" ht="15">
      <c r="A982" s="3" t="s">
        <v>656</v>
      </c>
      <c r="B982" s="3" t="s">
        <v>657</v>
      </c>
      <c r="C982" s="61" t="s">
        <v>3290</v>
      </c>
      <c r="D982" s="3" t="s">
        <v>3248</v>
      </c>
      <c r="E982" s="3">
        <v>1</v>
      </c>
      <c r="F982" s="3" t="s">
        <v>1905</v>
      </c>
      <c r="G982" s="9">
        <v>1641.665722</v>
      </c>
      <c r="H982" s="66">
        <v>48429.138799</v>
      </c>
      <c r="I982" s="9">
        <v>1993.9261466824901</v>
      </c>
      <c r="J982" s="10">
        <v>1.2145750014523908</v>
      </c>
      <c r="K982" s="66">
        <v>18604.736107174132</v>
      </c>
      <c r="L982" s="69">
        <v>67033.87490617414</v>
      </c>
      <c r="M982" s="64">
        <v>726961.65983617795</v>
      </c>
      <c r="N982" s="67">
        <v>14571.438820926673</v>
      </c>
      <c r="O982" s="64">
        <f t="shared" si="30"/>
        <v>81605.313727100816</v>
      </c>
      <c r="P982" s="64">
        <f t="shared" si="31"/>
        <v>49.708849148463138</v>
      </c>
    </row>
    <row r="983" spans="1:16" ht="15">
      <c r="A983" s="3" t="s">
        <v>1265</v>
      </c>
      <c r="B983" s="3" t="s">
        <v>1266</v>
      </c>
      <c r="C983" s="61" t="s">
        <v>3290</v>
      </c>
      <c r="D983" s="3" t="s">
        <v>3248</v>
      </c>
      <c r="E983" s="3">
        <v>1</v>
      </c>
      <c r="F983" s="3" t="s">
        <v>1904</v>
      </c>
      <c r="G983" s="9">
        <v>1667.826409</v>
      </c>
      <c r="H983" s="66">
        <v>49200.879065499998</v>
      </c>
      <c r="I983" s="9">
        <v>1857.14856490234</v>
      </c>
      <c r="J983" s="10">
        <v>1.1135143051343421</v>
      </c>
      <c r="K983" s="66">
        <v>9999.1043642757486</v>
      </c>
      <c r="L983" s="69">
        <v>59199.983429775748</v>
      </c>
      <c r="M983" s="64">
        <v>694225.95164474985</v>
      </c>
      <c r="N983" s="67">
        <v>13915.274410167242</v>
      </c>
      <c r="O983" s="64">
        <f t="shared" si="30"/>
        <v>73115.257839942991</v>
      </c>
      <c r="P983" s="64">
        <f t="shared" si="31"/>
        <v>43.838649781173352</v>
      </c>
    </row>
    <row r="984" spans="1:16" ht="15">
      <c r="A984" s="3" t="s">
        <v>1267</v>
      </c>
      <c r="B984" s="3" t="s">
        <v>1268</v>
      </c>
      <c r="C984" s="61" t="s">
        <v>3290</v>
      </c>
      <c r="D984" s="3" t="s">
        <v>3248</v>
      </c>
      <c r="E984" s="3">
        <v>1</v>
      </c>
      <c r="F984" s="3" t="s">
        <v>1905</v>
      </c>
      <c r="G984" s="9">
        <v>1798.2595679999999</v>
      </c>
      <c r="H984" s="66">
        <v>53048.657255999999</v>
      </c>
      <c r="I984" s="9">
        <v>2276.5935405814898</v>
      </c>
      <c r="J984" s="10">
        <v>1.265998291399882</v>
      </c>
      <c r="K984" s="66">
        <v>25263.346965519184</v>
      </c>
      <c r="L984" s="69">
        <v>78312.004221519179</v>
      </c>
      <c r="M984" s="64">
        <v>1668099.3998751116</v>
      </c>
      <c r="N984" s="67">
        <v>33435.88760648288</v>
      </c>
      <c r="O984" s="64">
        <f t="shared" si="30"/>
        <v>111747.89182800206</v>
      </c>
      <c r="P984" s="64">
        <f t="shared" si="31"/>
        <v>62.142247880425046</v>
      </c>
    </row>
    <row r="985" spans="1:16" ht="15">
      <c r="A985" s="3" t="str">
        <f>"000551"</f>
        <v>000551</v>
      </c>
      <c r="B985" s="3" t="s">
        <v>2612</v>
      </c>
      <c r="C985" s="61" t="s">
        <v>3290</v>
      </c>
      <c r="D985" s="3" t="s">
        <v>3249</v>
      </c>
      <c r="E985" s="3">
        <v>1</v>
      </c>
      <c r="F985" s="3" t="s">
        <v>3220</v>
      </c>
      <c r="G985" s="9">
        <v>409</v>
      </c>
      <c r="H985" s="66">
        <v>12065.5</v>
      </c>
      <c r="I985" s="9">
        <v>409</v>
      </c>
      <c r="J985" s="10">
        <v>1</v>
      </c>
      <c r="K985" s="66">
        <v>0</v>
      </c>
      <c r="L985" s="69">
        <v>12065.5</v>
      </c>
      <c r="M985" s="64">
        <v>0</v>
      </c>
      <c r="N985" s="67">
        <v>0</v>
      </c>
      <c r="O985" s="64">
        <f t="shared" si="30"/>
        <v>12065.5</v>
      </c>
      <c r="P985" s="64">
        <f t="shared" si="31"/>
        <v>29.5</v>
      </c>
    </row>
    <row r="986" spans="1:16" ht="15">
      <c r="A986" s="3" t="s">
        <v>1269</v>
      </c>
      <c r="B986" s="3" t="s">
        <v>1270</v>
      </c>
      <c r="C986" s="61" t="s">
        <v>3290</v>
      </c>
      <c r="D986" s="3" t="s">
        <v>3248</v>
      </c>
      <c r="E986" s="3">
        <v>1</v>
      </c>
      <c r="F986" s="3" t="s">
        <v>1906</v>
      </c>
      <c r="G986" s="9">
        <v>4437.3093769999996</v>
      </c>
      <c r="H986" s="66">
        <v>130900.62662149999</v>
      </c>
      <c r="I986" s="9">
        <v>5456.6858390004199</v>
      </c>
      <c r="J986" s="10">
        <v>1.2297285078394975</v>
      </c>
      <c r="K986" s="66">
        <v>53838.662365995122</v>
      </c>
      <c r="L986" s="69">
        <v>184739.28898749512</v>
      </c>
      <c r="M986" s="64">
        <v>3283443.5290093361</v>
      </c>
      <c r="N986" s="67">
        <v>65814.33265092544</v>
      </c>
      <c r="O986" s="64">
        <f t="shared" si="30"/>
        <v>250553.62163842056</v>
      </c>
      <c r="P986" s="64">
        <f t="shared" si="31"/>
        <v>56.465213567735553</v>
      </c>
    </row>
    <row r="987" spans="1:16" ht="15">
      <c r="A987" s="3" t="s">
        <v>1271</v>
      </c>
      <c r="B987" s="3" t="s">
        <v>1272</v>
      </c>
      <c r="C987" s="61" t="s">
        <v>3290</v>
      </c>
      <c r="D987" s="3" t="s">
        <v>3248</v>
      </c>
      <c r="E987" s="3">
        <v>1</v>
      </c>
      <c r="F987" s="3" t="s">
        <v>1904</v>
      </c>
      <c r="G987" s="9">
        <v>1993.858379</v>
      </c>
      <c r="H987" s="66">
        <v>58818.822180499999</v>
      </c>
      <c r="I987" s="9">
        <v>2340.5764965653598</v>
      </c>
      <c r="J987" s="10">
        <v>1.1738930513907677</v>
      </c>
      <c r="K987" s="66">
        <v>18312.017555460399</v>
      </c>
      <c r="L987" s="69">
        <v>77130.839735960399</v>
      </c>
      <c r="M987" s="64">
        <v>2045925.6218216284</v>
      </c>
      <c r="N987" s="67">
        <v>41009.150382509062</v>
      </c>
      <c r="O987" s="64">
        <f t="shared" si="30"/>
        <v>118139.99011846946</v>
      </c>
      <c r="P987" s="64">
        <f t="shared" si="31"/>
        <v>59.251946558873158</v>
      </c>
    </row>
    <row r="988" spans="1:16" ht="15">
      <c r="A988" s="3" t="str">
        <f>"119248"</f>
        <v>119248</v>
      </c>
      <c r="B988" s="3" t="s">
        <v>3071</v>
      </c>
      <c r="C988" s="61" t="s">
        <v>3290</v>
      </c>
      <c r="D988" s="3" t="s">
        <v>3249</v>
      </c>
      <c r="E988" s="3">
        <v>1</v>
      </c>
      <c r="F988" s="3" t="s">
        <v>3220</v>
      </c>
      <c r="G988" s="9">
        <v>5</v>
      </c>
      <c r="H988" s="66">
        <v>147.5</v>
      </c>
      <c r="I988" s="9">
        <v>5</v>
      </c>
      <c r="J988" s="10">
        <v>1</v>
      </c>
      <c r="K988" s="66">
        <v>0</v>
      </c>
      <c r="L988" s="69">
        <v>147.5</v>
      </c>
      <c r="M988" s="64">
        <v>0</v>
      </c>
      <c r="N988" s="67">
        <v>0</v>
      </c>
      <c r="O988" s="64">
        <f t="shared" si="30"/>
        <v>147.5</v>
      </c>
      <c r="P988" s="64">
        <f t="shared" si="31"/>
        <v>29.5</v>
      </c>
    </row>
    <row r="989" spans="1:16" ht="15">
      <c r="A989" s="3" t="str">
        <f>"053355"</f>
        <v>053355</v>
      </c>
      <c r="B989" s="3" t="s">
        <v>2684</v>
      </c>
      <c r="C989" s="61" t="s">
        <v>3290</v>
      </c>
      <c r="D989" s="3" t="s">
        <v>3249</v>
      </c>
      <c r="E989" s="3">
        <v>1</v>
      </c>
      <c r="F989" s="3" t="s">
        <v>3220</v>
      </c>
      <c r="G989" s="9">
        <v>207</v>
      </c>
      <c r="H989" s="66">
        <v>6106.5</v>
      </c>
      <c r="I989" s="9">
        <v>210.14959999999999</v>
      </c>
      <c r="J989" s="10">
        <v>1.015215458937198</v>
      </c>
      <c r="K989" s="66">
        <v>166.34703400466384</v>
      </c>
      <c r="L989" s="69">
        <v>6272.8470340046642</v>
      </c>
      <c r="M989" s="64">
        <v>0</v>
      </c>
      <c r="N989" s="67">
        <v>0</v>
      </c>
      <c r="O989" s="64">
        <f t="shared" si="30"/>
        <v>6272.8470340046642</v>
      </c>
      <c r="P989" s="64">
        <f t="shared" si="31"/>
        <v>30.303608859925916</v>
      </c>
    </row>
    <row r="990" spans="1:16" ht="15">
      <c r="A990" s="3" t="s">
        <v>720</v>
      </c>
      <c r="B990" s="3" t="s">
        <v>721</v>
      </c>
      <c r="C990" s="61" t="s">
        <v>3290</v>
      </c>
      <c r="D990" s="3" t="s">
        <v>3248</v>
      </c>
      <c r="E990" s="3">
        <v>1</v>
      </c>
      <c r="F990" s="3" t="s">
        <v>1909</v>
      </c>
      <c r="G990" s="9">
        <v>6451.0442510000003</v>
      </c>
      <c r="H990" s="66">
        <v>190305.80540450002</v>
      </c>
      <c r="I990" s="9">
        <v>8575.1209250454303</v>
      </c>
      <c r="J990" s="10">
        <v>1.3292609058938278</v>
      </c>
      <c r="K990" s="66">
        <v>112183.72324293539</v>
      </c>
      <c r="L990" s="69">
        <v>302489.52864743542</v>
      </c>
      <c r="M990" s="64">
        <v>2828541.7431413867</v>
      </c>
      <c r="N990" s="67">
        <v>56696.144019355954</v>
      </c>
      <c r="O990" s="64">
        <f t="shared" si="30"/>
        <v>359185.67266679136</v>
      </c>
      <c r="P990" s="64">
        <f t="shared" si="31"/>
        <v>55.678686843779232</v>
      </c>
    </row>
    <row r="991" spans="1:16" ht="15">
      <c r="A991" s="3" t="s">
        <v>1273</v>
      </c>
      <c r="B991" s="3" t="s">
        <v>1274</v>
      </c>
      <c r="C991" s="61" t="s">
        <v>3290</v>
      </c>
      <c r="D991" s="3" t="s">
        <v>3248</v>
      </c>
      <c r="E991" s="3">
        <v>1</v>
      </c>
      <c r="F991" s="3" t="s">
        <v>3224</v>
      </c>
      <c r="G991" s="9">
        <v>1552.079626</v>
      </c>
      <c r="H991" s="66">
        <v>45786.348966999998</v>
      </c>
      <c r="I991" s="9">
        <v>1873.8730745477401</v>
      </c>
      <c r="J991" s="10">
        <v>1.2073305023512628</v>
      </c>
      <c r="K991" s="66">
        <v>16995.613959883507</v>
      </c>
      <c r="L991" s="69">
        <v>62781.962926883505</v>
      </c>
      <c r="M991" s="64">
        <v>2117613.8355522202</v>
      </c>
      <c r="N991" s="67">
        <v>42446.090565561135</v>
      </c>
      <c r="O991" s="64">
        <f t="shared" si="30"/>
        <v>105228.05349244464</v>
      </c>
      <c r="P991" s="64">
        <f t="shared" si="31"/>
        <v>67.798102448929797</v>
      </c>
    </row>
    <row r="992" spans="1:16" ht="15">
      <c r="A992" s="3" t="s">
        <v>1275</v>
      </c>
      <c r="B992" s="3" t="s">
        <v>1276</v>
      </c>
      <c r="C992" s="61" t="s">
        <v>3290</v>
      </c>
      <c r="D992" s="3" t="s">
        <v>3248</v>
      </c>
      <c r="E992" s="3">
        <v>1</v>
      </c>
      <c r="F992" s="3" t="s">
        <v>1904</v>
      </c>
      <c r="G992" s="9">
        <v>1122.1083920000001</v>
      </c>
      <c r="H992" s="66">
        <v>33102.197564000002</v>
      </c>
      <c r="I992" s="9">
        <v>1318.0531766454201</v>
      </c>
      <c r="J992" s="10">
        <v>1.1746219759538346</v>
      </c>
      <c r="K992" s="66">
        <v>10348.880414798161</v>
      </c>
      <c r="L992" s="69">
        <v>43451.077978798159</v>
      </c>
      <c r="M992" s="64">
        <v>2302977.5038632792</v>
      </c>
      <c r="N992" s="67">
        <v>46161.575854050512</v>
      </c>
      <c r="O992" s="64">
        <f t="shared" si="30"/>
        <v>89612.653832848679</v>
      </c>
      <c r="P992" s="64">
        <f t="shared" si="31"/>
        <v>79.860960377568119</v>
      </c>
    </row>
    <row r="993" spans="1:16" ht="15">
      <c r="A993" s="3" t="s">
        <v>130</v>
      </c>
      <c r="B993" s="3" t="s">
        <v>131</v>
      </c>
      <c r="C993" s="61" t="s">
        <v>3290</v>
      </c>
      <c r="D993" s="3" t="s">
        <v>1684</v>
      </c>
      <c r="E993" s="3">
        <v>1</v>
      </c>
      <c r="F993" s="3" t="s">
        <v>3266</v>
      </c>
      <c r="G993" s="9">
        <v>252.514892</v>
      </c>
      <c r="H993" s="66">
        <v>7449.1893140000002</v>
      </c>
      <c r="I993" s="9">
        <v>357.86074355313701</v>
      </c>
      <c r="J993" s="10">
        <v>1.4171866883523725</v>
      </c>
      <c r="K993" s="66">
        <v>5563.8715870459719</v>
      </c>
      <c r="L993" s="69">
        <v>13013.060901045972</v>
      </c>
      <c r="M993" s="64">
        <v>0</v>
      </c>
      <c r="N993" s="67">
        <v>0</v>
      </c>
      <c r="O993" s="64">
        <f t="shared" si="30"/>
        <v>13013.060901045972</v>
      </c>
      <c r="P993" s="64">
        <f t="shared" si="31"/>
        <v>51.533835481853373</v>
      </c>
    </row>
    <row r="994" spans="1:16" ht="15">
      <c r="A994" s="3" t="s">
        <v>1277</v>
      </c>
      <c r="B994" s="3" t="s">
        <v>1278</v>
      </c>
      <c r="C994" s="61" t="s">
        <v>3290</v>
      </c>
      <c r="D994" s="3" t="s">
        <v>3248</v>
      </c>
      <c r="E994" s="3">
        <v>1</v>
      </c>
      <c r="F994" s="3" t="s">
        <v>1906</v>
      </c>
      <c r="G994" s="9">
        <v>4201.5989730000001</v>
      </c>
      <c r="H994" s="66">
        <v>123947.1697035</v>
      </c>
      <c r="I994" s="9">
        <v>5038.2837386702204</v>
      </c>
      <c r="J994" s="10">
        <v>1.1991348462922953</v>
      </c>
      <c r="K994" s="66">
        <v>44189.74763974113</v>
      </c>
      <c r="L994" s="69">
        <v>168136.91734324113</v>
      </c>
      <c r="M994" s="64">
        <v>2584018.2838802212</v>
      </c>
      <c r="N994" s="67">
        <v>51794.842033624875</v>
      </c>
      <c r="O994" s="64">
        <f t="shared" si="30"/>
        <v>219931.75937686602</v>
      </c>
      <c r="P994" s="64">
        <f t="shared" si="31"/>
        <v>52.34477654582814</v>
      </c>
    </row>
    <row r="995" spans="1:16" ht="15">
      <c r="A995" s="3" t="str">
        <f>"057885"</f>
        <v>057885</v>
      </c>
      <c r="B995" s="3" t="s">
        <v>2812</v>
      </c>
      <c r="C995" s="61" t="s">
        <v>3290</v>
      </c>
      <c r="D995" s="3" t="s">
        <v>3249</v>
      </c>
      <c r="E995" s="3">
        <v>1</v>
      </c>
      <c r="F995" s="3" t="s">
        <v>3220</v>
      </c>
      <c r="G995" s="9">
        <v>255</v>
      </c>
      <c r="H995" s="66">
        <v>7522.5</v>
      </c>
      <c r="I995" s="9">
        <v>267.76099999999997</v>
      </c>
      <c r="J995" s="10">
        <v>1.0500431372549017</v>
      </c>
      <c r="K995" s="66">
        <v>673.9759019981949</v>
      </c>
      <c r="L995" s="69">
        <v>8196.4759019981957</v>
      </c>
      <c r="M995" s="64">
        <v>0</v>
      </c>
      <c r="N995" s="67">
        <v>0</v>
      </c>
      <c r="O995" s="64">
        <f t="shared" si="30"/>
        <v>8196.4759019981957</v>
      </c>
      <c r="P995" s="64">
        <f t="shared" si="31"/>
        <v>32.1430427529341</v>
      </c>
    </row>
    <row r="996" spans="1:16" ht="15">
      <c r="A996" s="3" t="str">
        <f>"017488"</f>
        <v>017488</v>
      </c>
      <c r="B996" s="3" t="s">
        <v>2604</v>
      </c>
      <c r="C996" s="61" t="s">
        <v>3290</v>
      </c>
      <c r="D996" s="3" t="s">
        <v>3249</v>
      </c>
      <c r="E996" s="3">
        <v>1</v>
      </c>
      <c r="F996" s="3" t="s">
        <v>3220</v>
      </c>
      <c r="G996" s="9">
        <v>22</v>
      </c>
      <c r="H996" s="66">
        <v>649</v>
      </c>
      <c r="I996" s="9">
        <v>22</v>
      </c>
      <c r="J996" s="10">
        <v>1</v>
      </c>
      <c r="K996" s="66">
        <v>0</v>
      </c>
      <c r="L996" s="69">
        <v>649</v>
      </c>
      <c r="M996" s="64">
        <v>0</v>
      </c>
      <c r="N996" s="67">
        <v>0</v>
      </c>
      <c r="O996" s="64">
        <f t="shared" si="30"/>
        <v>649</v>
      </c>
      <c r="P996" s="64">
        <f t="shared" si="31"/>
        <v>29.5</v>
      </c>
    </row>
    <row r="997" spans="1:16" ht="15">
      <c r="A997" s="3" t="str">
        <f>"089409"</f>
        <v>089409</v>
      </c>
      <c r="B997" s="3" t="s">
        <v>3103</v>
      </c>
      <c r="C997" s="61" t="s">
        <v>3290</v>
      </c>
      <c r="D997" s="3" t="s">
        <v>3249</v>
      </c>
      <c r="E997" s="3">
        <v>1</v>
      </c>
      <c r="F997" s="3" t="s">
        <v>3220</v>
      </c>
      <c r="G997" s="9">
        <v>58</v>
      </c>
      <c r="H997" s="66">
        <v>1711</v>
      </c>
      <c r="I997" s="9">
        <v>58</v>
      </c>
      <c r="J997" s="10">
        <v>1</v>
      </c>
      <c r="K997" s="66">
        <v>0</v>
      </c>
      <c r="L997" s="69">
        <v>1711</v>
      </c>
      <c r="M997" s="64">
        <v>0</v>
      </c>
      <c r="N997" s="67">
        <v>0</v>
      </c>
      <c r="O997" s="64">
        <f t="shared" si="30"/>
        <v>1711</v>
      </c>
      <c r="P997" s="64">
        <f t="shared" si="31"/>
        <v>29.5</v>
      </c>
    </row>
    <row r="998" spans="1:16" ht="15">
      <c r="A998" s="3" t="s">
        <v>565</v>
      </c>
      <c r="B998" s="3" t="s">
        <v>1852</v>
      </c>
      <c r="C998" s="61" t="s">
        <v>3329</v>
      </c>
      <c r="D998" s="3" t="s">
        <v>3248</v>
      </c>
      <c r="E998" s="3">
        <v>1</v>
      </c>
      <c r="F998" s="3" t="s">
        <v>1905</v>
      </c>
      <c r="G998" s="9">
        <v>2315.218081</v>
      </c>
      <c r="H998" s="66">
        <v>68298.933389500002</v>
      </c>
      <c r="I998" s="9">
        <v>2893.7929248016599</v>
      </c>
      <c r="J998" s="10">
        <v>1.2499007970565603</v>
      </c>
      <c r="K998" s="66">
        <v>30557.597541312552</v>
      </c>
      <c r="L998" s="69">
        <v>98856.530930812558</v>
      </c>
      <c r="M998" s="64">
        <v>1252356.6816995707</v>
      </c>
      <c r="N998" s="67">
        <v>25102.615141321752</v>
      </c>
      <c r="O998" s="64">
        <f t="shared" si="30"/>
        <v>123959.14607213432</v>
      </c>
      <c r="P998" s="64">
        <f t="shared" si="31"/>
        <v>53.541023668316072</v>
      </c>
    </row>
    <row r="999" spans="1:16" ht="15">
      <c r="A999" s="3" t="s">
        <v>1279</v>
      </c>
      <c r="B999" s="3" t="s">
        <v>1280</v>
      </c>
      <c r="C999" s="61" t="s">
        <v>3329</v>
      </c>
      <c r="D999" s="3" t="s">
        <v>3248</v>
      </c>
      <c r="E999" s="3">
        <v>1</v>
      </c>
      <c r="F999" s="3" t="s">
        <v>1904</v>
      </c>
      <c r="G999" s="9">
        <v>1675.205958</v>
      </c>
      <c r="H999" s="66">
        <v>49418.575761</v>
      </c>
      <c r="I999" s="9">
        <v>1925.8762095601401</v>
      </c>
      <c r="J999" s="10">
        <v>1.1496354823495321</v>
      </c>
      <c r="K999" s="66">
        <v>13239.221761567296</v>
      </c>
      <c r="L999" s="69">
        <v>62657.7975225673</v>
      </c>
      <c r="M999" s="64">
        <v>1825098.742865755</v>
      </c>
      <c r="N999" s="67">
        <v>36582.829801246466</v>
      </c>
      <c r="O999" s="64">
        <f t="shared" si="30"/>
        <v>99240.627323813766</v>
      </c>
      <c r="P999" s="64">
        <f t="shared" si="31"/>
        <v>59.240851460614117</v>
      </c>
    </row>
    <row r="1000" spans="1:16" ht="15">
      <c r="A1000" s="3" t="str">
        <f>"015185"</f>
        <v>015185</v>
      </c>
      <c r="B1000" s="3" t="s">
        <v>2822</v>
      </c>
      <c r="C1000" s="61" t="s">
        <v>3329</v>
      </c>
      <c r="D1000" s="3" t="s">
        <v>3249</v>
      </c>
      <c r="E1000" s="3">
        <v>1</v>
      </c>
      <c r="F1000" s="3" t="s">
        <v>3220</v>
      </c>
      <c r="G1000" s="9">
        <v>210</v>
      </c>
      <c r="H1000" s="66">
        <v>6195</v>
      </c>
      <c r="I1000" s="9">
        <v>226.29840000000002</v>
      </c>
      <c r="J1000" s="10">
        <v>1.0776114285714287</v>
      </c>
      <c r="K1000" s="66">
        <v>860.80470504877508</v>
      </c>
      <c r="L1000" s="69">
        <v>7055.8047050487748</v>
      </c>
      <c r="M1000" s="64">
        <v>0</v>
      </c>
      <c r="N1000" s="67">
        <v>0</v>
      </c>
      <c r="O1000" s="64">
        <f t="shared" si="30"/>
        <v>7055.8047050487748</v>
      </c>
      <c r="P1000" s="64">
        <f t="shared" si="31"/>
        <v>33.599070024041787</v>
      </c>
    </row>
    <row r="1001" spans="1:16" ht="15">
      <c r="A1001" s="3" t="s">
        <v>1281</v>
      </c>
      <c r="B1001" s="3" t="s">
        <v>1282</v>
      </c>
      <c r="C1001" s="61" t="s">
        <v>3329</v>
      </c>
      <c r="D1001" s="3" t="s">
        <v>3248</v>
      </c>
      <c r="E1001" s="3">
        <v>1</v>
      </c>
      <c r="F1001" s="3" t="s">
        <v>1905</v>
      </c>
      <c r="G1001" s="9">
        <v>1430.463915</v>
      </c>
      <c r="H1001" s="66">
        <v>42198.685492500001</v>
      </c>
      <c r="I1001" s="9">
        <v>1727.42734377844</v>
      </c>
      <c r="J1001" s="10">
        <v>1.2075993848320459</v>
      </c>
      <c r="K1001" s="66">
        <v>15684.209291703341</v>
      </c>
      <c r="L1001" s="69">
        <v>57882.894784203338</v>
      </c>
      <c r="M1001" s="64">
        <v>1056936.9246195054</v>
      </c>
      <c r="N1001" s="67">
        <v>21185.562575806503</v>
      </c>
      <c r="O1001" s="64">
        <f t="shared" si="30"/>
        <v>79068.457360009837</v>
      </c>
      <c r="P1001" s="64">
        <f t="shared" si="31"/>
        <v>55.274695524220782</v>
      </c>
    </row>
    <row r="1002" spans="1:16" ht="15">
      <c r="A1002" s="3" t="s">
        <v>494</v>
      </c>
      <c r="B1002" s="3" t="s">
        <v>495</v>
      </c>
      <c r="C1002" s="61" t="s">
        <v>3329</v>
      </c>
      <c r="D1002" s="3" t="s">
        <v>456</v>
      </c>
      <c r="E1002" s="3">
        <v>1</v>
      </c>
      <c r="F1002" s="3" t="s">
        <v>1897</v>
      </c>
      <c r="G1002" s="9">
        <v>937.19463499999995</v>
      </c>
      <c r="H1002" s="66">
        <v>27647.241732499999</v>
      </c>
      <c r="I1002" s="9">
        <v>1142.01490798605</v>
      </c>
      <c r="J1002" s="10">
        <v>1.2185461432843672</v>
      </c>
      <c r="K1002" s="66">
        <v>10817.641895877281</v>
      </c>
      <c r="L1002" s="69">
        <v>38464.883628377283</v>
      </c>
      <c r="M1002" s="64">
        <v>0</v>
      </c>
      <c r="N1002" s="67">
        <v>0</v>
      </c>
      <c r="O1002" s="64">
        <f t="shared" si="30"/>
        <v>38464.883628377283</v>
      </c>
      <c r="P1002" s="64">
        <f t="shared" si="31"/>
        <v>41.042577701458228</v>
      </c>
    </row>
    <row r="1003" spans="1:16" ht="15">
      <c r="A1003" s="3" t="s">
        <v>1283</v>
      </c>
      <c r="B1003" s="3" t="s">
        <v>1254</v>
      </c>
      <c r="C1003" s="61" t="s">
        <v>3329</v>
      </c>
      <c r="D1003" s="3" t="s">
        <v>3248</v>
      </c>
      <c r="E1003" s="3">
        <v>1</v>
      </c>
      <c r="F1003" s="3" t="s">
        <v>3224</v>
      </c>
      <c r="G1003" s="9">
        <v>605.26273700000002</v>
      </c>
      <c r="H1003" s="66">
        <v>17855.2507415</v>
      </c>
      <c r="I1003" s="9">
        <v>720.88704468984997</v>
      </c>
      <c r="J1003" s="10">
        <v>1.1910315977205945</v>
      </c>
      <c r="K1003" s="66">
        <v>6106.7312176305659</v>
      </c>
      <c r="L1003" s="69">
        <v>23961.981959130564</v>
      </c>
      <c r="M1003" s="64">
        <v>390613.2221413643</v>
      </c>
      <c r="N1003" s="67">
        <v>7829.5692655381381</v>
      </c>
      <c r="O1003" s="64">
        <f t="shared" si="30"/>
        <v>31791.551224668703</v>
      </c>
      <c r="P1003" s="64">
        <f t="shared" si="31"/>
        <v>52.525208114156058</v>
      </c>
    </row>
    <row r="1004" spans="1:16" ht="15">
      <c r="A1004" s="3" t="s">
        <v>859</v>
      </c>
      <c r="B1004" s="3" t="s">
        <v>860</v>
      </c>
      <c r="C1004" s="61" t="s">
        <v>3291</v>
      </c>
      <c r="D1004" s="3" t="s">
        <v>3248</v>
      </c>
      <c r="E1004" s="3">
        <v>1</v>
      </c>
      <c r="F1004" s="3" t="s">
        <v>1906</v>
      </c>
      <c r="G1004" s="9">
        <v>3550.2959460000002</v>
      </c>
      <c r="H1004" s="66">
        <v>104733.73040700001</v>
      </c>
      <c r="I1004" s="9">
        <v>4116.6100628701997</v>
      </c>
      <c r="J1004" s="10">
        <v>1.1595118056308085</v>
      </c>
      <c r="K1004" s="66">
        <v>29910.043705971704</v>
      </c>
      <c r="L1004" s="69">
        <v>134643.7741129717</v>
      </c>
      <c r="M1004" s="64">
        <v>1421981.0511808197</v>
      </c>
      <c r="N1004" s="67">
        <v>28502.617175804939</v>
      </c>
      <c r="O1004" s="64">
        <f t="shared" si="30"/>
        <v>163146.39128877665</v>
      </c>
      <c r="P1004" s="64">
        <f t="shared" si="31"/>
        <v>45.952899073833052</v>
      </c>
    </row>
    <row r="1005" spans="1:16" ht="15">
      <c r="A1005" s="3" t="s">
        <v>1286</v>
      </c>
      <c r="B1005" s="3" t="s">
        <v>1287</v>
      </c>
      <c r="C1005" s="61" t="s">
        <v>3291</v>
      </c>
      <c r="D1005" s="3" t="s">
        <v>3248</v>
      </c>
      <c r="E1005" s="3">
        <v>1</v>
      </c>
      <c r="F1005" s="3" t="s">
        <v>1907</v>
      </c>
      <c r="G1005" s="9">
        <v>3767.828794</v>
      </c>
      <c r="H1005" s="66">
        <v>111150.949423</v>
      </c>
      <c r="I1005" s="9">
        <v>4348.6529916394902</v>
      </c>
      <c r="J1005" s="10">
        <v>1.1541535535171905</v>
      </c>
      <c r="K1005" s="66">
        <v>30676.39781415675</v>
      </c>
      <c r="L1005" s="69">
        <v>141827.34723715676</v>
      </c>
      <c r="M1005" s="64">
        <v>1717171.5670140181</v>
      </c>
      <c r="N1005" s="67">
        <v>34419.504928799441</v>
      </c>
      <c r="O1005" s="64">
        <f t="shared" si="30"/>
        <v>176246.8521659562</v>
      </c>
      <c r="P1005" s="64">
        <f t="shared" si="31"/>
        <v>46.776767682920415</v>
      </c>
    </row>
    <row r="1006" spans="1:16" ht="15">
      <c r="A1006" s="3" t="s">
        <v>1284</v>
      </c>
      <c r="B1006" s="3" t="s">
        <v>1285</v>
      </c>
      <c r="C1006" s="61" t="s">
        <v>3291</v>
      </c>
      <c r="D1006" s="3" t="s">
        <v>3248</v>
      </c>
      <c r="E1006" s="3">
        <v>1</v>
      </c>
      <c r="F1006" s="3" t="s">
        <v>1907</v>
      </c>
      <c r="G1006" s="9">
        <v>4321.0042679999997</v>
      </c>
      <c r="H1006" s="66">
        <v>127469.62590599999</v>
      </c>
      <c r="I1006" s="9">
        <v>4904.7425992393901</v>
      </c>
      <c r="J1006" s="10">
        <v>1.1350932086696541</v>
      </c>
      <c r="K1006" s="66">
        <v>30830.308622207529</v>
      </c>
      <c r="L1006" s="69">
        <v>158299.93452820752</v>
      </c>
      <c r="M1006" s="64">
        <v>1745065.9952229452</v>
      </c>
      <c r="N1006" s="67">
        <v>34978.629263063107</v>
      </c>
      <c r="O1006" s="64">
        <f t="shared" si="30"/>
        <v>193278.56379127063</v>
      </c>
      <c r="P1006" s="64">
        <f t="shared" si="31"/>
        <v>44.730009924459218</v>
      </c>
    </row>
    <row r="1007" spans="1:16" ht="15">
      <c r="A1007" s="3" t="s">
        <v>1288</v>
      </c>
      <c r="B1007" s="3" t="s">
        <v>1289</v>
      </c>
      <c r="C1007" s="61" t="s">
        <v>3291</v>
      </c>
      <c r="D1007" s="3" t="s">
        <v>3248</v>
      </c>
      <c r="E1007" s="3">
        <v>1</v>
      </c>
      <c r="F1007" s="3" t="s">
        <v>1905</v>
      </c>
      <c r="G1007" s="9">
        <v>1624.2702469999999</v>
      </c>
      <c r="H1007" s="66">
        <v>47915.9722865</v>
      </c>
      <c r="I1007" s="9">
        <v>2130.0349165325702</v>
      </c>
      <c r="J1007" s="10">
        <v>1.3113796306167087</v>
      </c>
      <c r="K1007" s="66">
        <v>26712.107150461085</v>
      </c>
      <c r="L1007" s="69">
        <v>74628.079436961081</v>
      </c>
      <c r="M1007" s="64">
        <v>487945.47845033865</v>
      </c>
      <c r="N1007" s="67">
        <v>9780.52637437464</v>
      </c>
      <c r="O1007" s="64">
        <f t="shared" si="30"/>
        <v>84408.605811335729</v>
      </c>
      <c r="P1007" s="64">
        <f t="shared" si="31"/>
        <v>51.967094741307378</v>
      </c>
    </row>
    <row r="1008" spans="1:16" ht="15">
      <c r="A1008" s="3" t="s">
        <v>1290</v>
      </c>
      <c r="B1008" s="3" t="s">
        <v>1291</v>
      </c>
      <c r="C1008" s="61" t="s">
        <v>3291</v>
      </c>
      <c r="D1008" s="3" t="s">
        <v>3248</v>
      </c>
      <c r="E1008" s="3">
        <v>1</v>
      </c>
      <c r="F1008" s="3" t="s">
        <v>1904</v>
      </c>
      <c r="G1008" s="9">
        <v>829.974468</v>
      </c>
      <c r="H1008" s="66">
        <v>24484.246805999999</v>
      </c>
      <c r="I1008" s="9">
        <v>934.30257541737501</v>
      </c>
      <c r="J1008" s="10">
        <v>1.125700381686169</v>
      </c>
      <c r="K1008" s="66">
        <v>5510.1191364618817</v>
      </c>
      <c r="L1008" s="69">
        <v>29994.365942461882</v>
      </c>
      <c r="M1008" s="64">
        <v>546495.31970693299</v>
      </c>
      <c r="N1008" s="67">
        <v>10954.117055948815</v>
      </c>
      <c r="O1008" s="64">
        <f t="shared" si="30"/>
        <v>40948.482998410698</v>
      </c>
      <c r="P1008" s="64">
        <f t="shared" si="31"/>
        <v>49.337039363493645</v>
      </c>
    </row>
    <row r="1009" spans="1:16" ht="15">
      <c r="A1009" s="3" t="s">
        <v>337</v>
      </c>
      <c r="B1009" s="3" t="s">
        <v>338</v>
      </c>
      <c r="C1009" s="61" t="s">
        <v>3291</v>
      </c>
      <c r="D1009" s="3" t="s">
        <v>1684</v>
      </c>
      <c r="E1009" s="3">
        <v>1</v>
      </c>
      <c r="F1009" s="3" t="s">
        <v>3266</v>
      </c>
      <c r="G1009" s="9">
        <v>487.753421</v>
      </c>
      <c r="H1009" s="66">
        <v>14388.725919500001</v>
      </c>
      <c r="I1009" s="9">
        <v>581.08512781227205</v>
      </c>
      <c r="J1009" s="10">
        <v>1.1913501839124405</v>
      </c>
      <c r="K1009" s="66">
        <v>4929.3410613456854</v>
      </c>
      <c r="L1009" s="69">
        <v>19318.066980845688</v>
      </c>
      <c r="M1009" s="64">
        <v>0</v>
      </c>
      <c r="N1009" s="67">
        <v>0</v>
      </c>
      <c r="O1009" s="64">
        <f t="shared" si="30"/>
        <v>19318.066980845688</v>
      </c>
      <c r="P1009" s="64">
        <f t="shared" si="31"/>
        <v>39.606215249581382</v>
      </c>
    </row>
    <row r="1010" spans="1:16" ht="15">
      <c r="A1010" s="3" t="s">
        <v>335</v>
      </c>
      <c r="B1010" s="3" t="s">
        <v>336</v>
      </c>
      <c r="C1010" s="61" t="s">
        <v>3291</v>
      </c>
      <c r="D1010" s="3" t="s">
        <v>1684</v>
      </c>
      <c r="E1010" s="3">
        <v>1</v>
      </c>
      <c r="F1010" s="3" t="s">
        <v>3266</v>
      </c>
      <c r="G1010" s="9">
        <v>182.17246499999999</v>
      </c>
      <c r="H1010" s="66">
        <v>5374.0877174999996</v>
      </c>
      <c r="I1010" s="9">
        <v>248.68319680353599</v>
      </c>
      <c r="J1010" s="10">
        <v>1.3650976112308522</v>
      </c>
      <c r="K1010" s="66">
        <v>3512.7835169538698</v>
      </c>
      <c r="L1010" s="69">
        <v>8886.871234453869</v>
      </c>
      <c r="M1010" s="64">
        <v>0</v>
      </c>
      <c r="N1010" s="67">
        <v>0</v>
      </c>
      <c r="O1010" s="64">
        <f t="shared" si="30"/>
        <v>8886.871234453869</v>
      </c>
      <c r="P1010" s="64">
        <f t="shared" si="31"/>
        <v>48.782735823736424</v>
      </c>
    </row>
    <row r="1011" spans="1:16" ht="15">
      <c r="A1011" s="3" t="s">
        <v>40</v>
      </c>
      <c r="B1011" s="3" t="s">
        <v>41</v>
      </c>
      <c r="C1011" s="61" t="s">
        <v>3291</v>
      </c>
      <c r="D1011" s="3" t="s">
        <v>1684</v>
      </c>
      <c r="E1011" s="3">
        <v>1</v>
      </c>
      <c r="F1011" s="3" t="s">
        <v>3266</v>
      </c>
      <c r="G1011" s="9">
        <v>131.834396</v>
      </c>
      <c r="H1011" s="66">
        <v>3889.1146819999999</v>
      </c>
      <c r="I1011" s="9">
        <v>174.76029216253301</v>
      </c>
      <c r="J1011" s="10">
        <v>1.3256046787860507</v>
      </c>
      <c r="K1011" s="66">
        <v>2267.1436082771029</v>
      </c>
      <c r="L1011" s="69">
        <v>6156.2582902771028</v>
      </c>
      <c r="M1011" s="64">
        <v>0</v>
      </c>
      <c r="N1011" s="67">
        <v>0</v>
      </c>
      <c r="O1011" s="64">
        <f t="shared" si="30"/>
        <v>6156.2582902771028</v>
      </c>
      <c r="P1011" s="64">
        <f t="shared" si="31"/>
        <v>46.69690518608742</v>
      </c>
    </row>
    <row r="1012" spans="1:16" ht="15">
      <c r="A1012" s="3" t="str">
        <f>"052969"</f>
        <v>052969</v>
      </c>
      <c r="B1012" s="3" t="s">
        <v>2903</v>
      </c>
      <c r="C1012" s="61" t="s">
        <v>3291</v>
      </c>
      <c r="D1012" s="3" t="s">
        <v>3249</v>
      </c>
      <c r="E1012" s="3">
        <v>1</v>
      </c>
      <c r="F1012" s="3" t="s">
        <v>3220</v>
      </c>
      <c r="G1012" s="9">
        <v>417</v>
      </c>
      <c r="H1012" s="66">
        <v>12301.5</v>
      </c>
      <c r="I1012" s="9">
        <v>446.90900000000005</v>
      </c>
      <c r="J1012" s="10">
        <v>1.0717242206235014</v>
      </c>
      <c r="K1012" s="66">
        <v>1579.6524765194026</v>
      </c>
      <c r="L1012" s="69">
        <v>13881.152476519403</v>
      </c>
      <c r="M1012" s="64">
        <v>0</v>
      </c>
      <c r="N1012" s="67">
        <v>0</v>
      </c>
      <c r="O1012" s="64">
        <f t="shared" si="30"/>
        <v>13881.152476519403</v>
      </c>
      <c r="P1012" s="64">
        <f t="shared" si="31"/>
        <v>33.288135435298329</v>
      </c>
    </row>
    <row r="1013" spans="1:16" ht="15">
      <c r="A1013" s="3" t="s">
        <v>629</v>
      </c>
      <c r="B1013" s="3" t="s">
        <v>1729</v>
      </c>
      <c r="C1013" s="61" t="s">
        <v>3291</v>
      </c>
      <c r="D1013" s="3" t="s">
        <v>3248</v>
      </c>
      <c r="E1013" s="3">
        <v>1</v>
      </c>
      <c r="F1013" s="3" t="s">
        <v>1909</v>
      </c>
      <c r="G1013" s="9">
        <v>6053.102355</v>
      </c>
      <c r="H1013" s="66">
        <v>178566.51947249999</v>
      </c>
      <c r="I1013" s="9">
        <v>7966.5234478207203</v>
      </c>
      <c r="J1013" s="10">
        <v>1.3161058545854905</v>
      </c>
      <c r="K1013" s="66">
        <v>101057.88785645484</v>
      </c>
      <c r="L1013" s="69">
        <v>279624.40732895484</v>
      </c>
      <c r="M1013" s="64">
        <v>1983792.3601152895</v>
      </c>
      <c r="N1013" s="67">
        <v>39763.732540387136</v>
      </c>
      <c r="O1013" s="64">
        <f t="shared" si="30"/>
        <v>319388.13986934198</v>
      </c>
      <c r="P1013" s="64">
        <f t="shared" si="31"/>
        <v>52.764371249318145</v>
      </c>
    </row>
    <row r="1014" spans="1:16" ht="15">
      <c r="A1014" s="3" t="s">
        <v>1292</v>
      </c>
      <c r="B1014" s="3" t="s">
        <v>1293</v>
      </c>
      <c r="C1014" s="61" t="s">
        <v>3291</v>
      </c>
      <c r="D1014" s="3" t="s">
        <v>3248</v>
      </c>
      <c r="E1014" s="3">
        <v>1</v>
      </c>
      <c r="F1014" s="3" t="s">
        <v>1904</v>
      </c>
      <c r="G1014" s="9">
        <v>1606.076793</v>
      </c>
      <c r="H1014" s="66">
        <v>47379.265393499998</v>
      </c>
      <c r="I1014" s="9">
        <v>1885.00968146114</v>
      </c>
      <c r="J1014" s="10">
        <v>1.1736734443065575</v>
      </c>
      <c r="K1014" s="66">
        <v>14731.921095334161</v>
      </c>
      <c r="L1014" s="69">
        <v>62111.186488834159</v>
      </c>
      <c r="M1014" s="64">
        <v>1691158.5911568215</v>
      </c>
      <c r="N1014" s="67">
        <v>33898.092993073973</v>
      </c>
      <c r="O1014" s="64">
        <f t="shared" si="30"/>
        <v>96009.279481908132</v>
      </c>
      <c r="P1014" s="64">
        <f t="shared" si="31"/>
        <v>59.778760206460525</v>
      </c>
    </row>
    <row r="1015" spans="1:16" ht="15">
      <c r="A1015" s="3" t="str">
        <f>"070136"</f>
        <v>070136</v>
      </c>
      <c r="B1015" s="3" t="s">
        <v>3118</v>
      </c>
      <c r="C1015" s="61" t="s">
        <v>3291</v>
      </c>
      <c r="D1015" s="3" t="s">
        <v>3249</v>
      </c>
      <c r="E1015" s="3">
        <v>1</v>
      </c>
      <c r="F1015" s="3" t="s">
        <v>3220</v>
      </c>
      <c r="G1015" s="9">
        <v>120</v>
      </c>
      <c r="H1015" s="66">
        <v>3540</v>
      </c>
      <c r="I1015" s="9">
        <v>120</v>
      </c>
      <c r="J1015" s="10">
        <v>1</v>
      </c>
      <c r="K1015" s="66">
        <v>0</v>
      </c>
      <c r="L1015" s="69">
        <v>3540</v>
      </c>
      <c r="M1015" s="64">
        <v>0</v>
      </c>
      <c r="N1015" s="67">
        <v>0</v>
      </c>
      <c r="O1015" s="64">
        <f t="shared" si="30"/>
        <v>3540</v>
      </c>
      <c r="P1015" s="64">
        <f t="shared" si="31"/>
        <v>29.5</v>
      </c>
    </row>
    <row r="1016" spans="1:16" ht="15">
      <c r="A1016" s="3" t="str">
        <f>"057133"</f>
        <v>057133</v>
      </c>
      <c r="B1016" s="3" t="s">
        <v>2714</v>
      </c>
      <c r="C1016" s="61" t="s">
        <v>3291</v>
      </c>
      <c r="D1016" s="3" t="s">
        <v>3249</v>
      </c>
      <c r="E1016" s="3">
        <v>1</v>
      </c>
      <c r="F1016" s="3" t="s">
        <v>3220</v>
      </c>
      <c r="G1016" s="9">
        <v>476</v>
      </c>
      <c r="H1016" s="66">
        <v>14042</v>
      </c>
      <c r="I1016" s="9">
        <v>501.07159999999999</v>
      </c>
      <c r="J1016" s="10">
        <v>1.0526714285714285</v>
      </c>
      <c r="K1016" s="66">
        <v>1324.1637978636456</v>
      </c>
      <c r="L1016" s="69">
        <v>15366.163797863646</v>
      </c>
      <c r="M1016" s="64">
        <v>0</v>
      </c>
      <c r="N1016" s="67">
        <v>0</v>
      </c>
      <c r="O1016" s="64">
        <f t="shared" si="30"/>
        <v>15366.163797863646</v>
      </c>
      <c r="P1016" s="64">
        <f t="shared" si="31"/>
        <v>32.281856718200935</v>
      </c>
    </row>
    <row r="1017" spans="1:16" ht="15">
      <c r="A1017" s="3" t="s">
        <v>201</v>
      </c>
      <c r="B1017" s="3" t="s">
        <v>202</v>
      </c>
      <c r="C1017" s="61" t="s">
        <v>3291</v>
      </c>
      <c r="D1017" s="3" t="s">
        <v>1684</v>
      </c>
      <c r="E1017" s="3">
        <v>1</v>
      </c>
      <c r="F1017" s="3" t="s">
        <v>3266</v>
      </c>
      <c r="G1017" s="9">
        <v>714.40942700000005</v>
      </c>
      <c r="H1017" s="66">
        <v>21075.078096500001</v>
      </c>
      <c r="I1017" s="9">
        <v>950.74250417924998</v>
      </c>
      <c r="J1017" s="10">
        <v>1.3308090126577374</v>
      </c>
      <c r="K1017" s="66">
        <v>12481.999754242959</v>
      </c>
      <c r="L1017" s="69">
        <v>33557.077850742964</v>
      </c>
      <c r="M1017" s="64">
        <v>0</v>
      </c>
      <c r="N1017" s="67">
        <v>0</v>
      </c>
      <c r="O1017" s="64">
        <f t="shared" si="30"/>
        <v>33557.077850742964</v>
      </c>
      <c r="P1017" s="64">
        <f t="shared" si="31"/>
        <v>46.971773583193439</v>
      </c>
    </row>
    <row r="1018" spans="1:16" ht="15">
      <c r="A1018" s="3" t="s">
        <v>1294</v>
      </c>
      <c r="B1018" s="3" t="s">
        <v>1295</v>
      </c>
      <c r="C1018" s="61" t="s">
        <v>3291</v>
      </c>
      <c r="D1018" s="3" t="s">
        <v>3248</v>
      </c>
      <c r="E1018" s="3">
        <v>1</v>
      </c>
      <c r="F1018" s="3" t="s">
        <v>1904</v>
      </c>
      <c r="G1018" s="9">
        <v>1450.3526710000001</v>
      </c>
      <c r="H1018" s="66">
        <v>42785.403794500002</v>
      </c>
      <c r="I1018" s="9">
        <v>1654.6947508518699</v>
      </c>
      <c r="J1018" s="10">
        <v>1.1408913045342126</v>
      </c>
      <c r="K1018" s="66">
        <v>10792.385987332615</v>
      </c>
      <c r="L1018" s="69">
        <v>53577.789781832616</v>
      </c>
      <c r="M1018" s="64">
        <v>1057472.8334048491</v>
      </c>
      <c r="N1018" s="67">
        <v>21196.30449317391</v>
      </c>
      <c r="O1018" s="64">
        <f t="shared" si="30"/>
        <v>74774.09427500653</v>
      </c>
      <c r="P1018" s="64">
        <f t="shared" si="31"/>
        <v>51.555801406185381</v>
      </c>
    </row>
    <row r="1019" spans="1:16" ht="15">
      <c r="A1019" s="3" t="str">
        <f>"062471"</f>
        <v>062471</v>
      </c>
      <c r="B1019" s="3" t="s">
        <v>3126</v>
      </c>
      <c r="C1019" s="61" t="s">
        <v>3291</v>
      </c>
      <c r="D1019" s="3" t="s">
        <v>3249</v>
      </c>
      <c r="E1019" s="3">
        <v>1</v>
      </c>
      <c r="F1019" s="3" t="s">
        <v>3220</v>
      </c>
      <c r="G1019" s="9">
        <v>417</v>
      </c>
      <c r="H1019" s="66">
        <v>12301.5</v>
      </c>
      <c r="I1019" s="9">
        <v>417</v>
      </c>
      <c r="J1019" s="10">
        <v>1</v>
      </c>
      <c r="K1019" s="66">
        <v>0</v>
      </c>
      <c r="L1019" s="69">
        <v>12301.5</v>
      </c>
      <c r="M1019" s="64">
        <v>0</v>
      </c>
      <c r="N1019" s="67">
        <v>0</v>
      </c>
      <c r="O1019" s="64">
        <f t="shared" si="30"/>
        <v>12301.5</v>
      </c>
      <c r="P1019" s="64">
        <f t="shared" si="31"/>
        <v>29.5</v>
      </c>
    </row>
    <row r="1020" spans="1:16" ht="15">
      <c r="A1020" s="3" t="str">
        <f>"116616"</f>
        <v>116616</v>
      </c>
      <c r="B1020" s="3" t="s">
        <v>3074</v>
      </c>
      <c r="C1020" s="61" t="s">
        <v>3291</v>
      </c>
      <c r="D1020" s="3" t="s">
        <v>3249</v>
      </c>
      <c r="E1020" s="3">
        <v>1</v>
      </c>
      <c r="F1020" s="3" t="s">
        <v>3220</v>
      </c>
      <c r="G1020" s="9">
        <v>8</v>
      </c>
      <c r="H1020" s="66">
        <v>236</v>
      </c>
      <c r="I1020" s="9">
        <v>8</v>
      </c>
      <c r="J1020" s="10">
        <v>1</v>
      </c>
      <c r="K1020" s="66">
        <v>0</v>
      </c>
      <c r="L1020" s="69">
        <v>236</v>
      </c>
      <c r="M1020" s="64">
        <v>0</v>
      </c>
      <c r="N1020" s="67">
        <v>0</v>
      </c>
      <c r="O1020" s="64">
        <f t="shared" si="30"/>
        <v>236</v>
      </c>
      <c r="P1020" s="64">
        <f t="shared" si="31"/>
        <v>29.5</v>
      </c>
    </row>
    <row r="1021" spans="1:16" ht="15">
      <c r="A1021" s="3" t="s">
        <v>406</v>
      </c>
      <c r="B1021" s="3" t="s">
        <v>1837</v>
      </c>
      <c r="C1021" s="61" t="s">
        <v>3291</v>
      </c>
      <c r="D1021" s="3" t="s">
        <v>1684</v>
      </c>
      <c r="E1021" s="3">
        <v>1</v>
      </c>
      <c r="F1021" s="3" t="s">
        <v>3266</v>
      </c>
      <c r="G1021" s="9">
        <v>134.45110199999999</v>
      </c>
      <c r="H1021" s="66">
        <v>3966.3075089999998</v>
      </c>
      <c r="I1021" s="9">
        <v>208.21781773886599</v>
      </c>
      <c r="J1021" s="10">
        <v>1.5486508823026679</v>
      </c>
      <c r="K1021" s="66">
        <v>3896.0104049484198</v>
      </c>
      <c r="L1021" s="69">
        <v>7862.31791394842</v>
      </c>
      <c r="M1021" s="64">
        <v>0</v>
      </c>
      <c r="N1021" s="67">
        <v>0</v>
      </c>
      <c r="O1021" s="64">
        <f t="shared" si="30"/>
        <v>7862.31791394842</v>
      </c>
      <c r="P1021" s="64">
        <f t="shared" si="31"/>
        <v>58.477154868901117</v>
      </c>
    </row>
    <row r="1022" spans="1:16" ht="15">
      <c r="A1022" s="3" t="s">
        <v>1827</v>
      </c>
      <c r="B1022" s="3" t="s">
        <v>1828</v>
      </c>
      <c r="C1022" s="61" t="s">
        <v>3291</v>
      </c>
      <c r="D1022" s="3" t="s">
        <v>1684</v>
      </c>
      <c r="E1022" s="3">
        <v>1</v>
      </c>
      <c r="F1022" s="3" t="s">
        <v>3266</v>
      </c>
      <c r="G1022" s="9">
        <v>103.793446</v>
      </c>
      <c r="H1022" s="66">
        <v>3061.906657</v>
      </c>
      <c r="I1022" s="9">
        <v>128.512235621011</v>
      </c>
      <c r="J1022" s="10">
        <v>1.2381536655118957</v>
      </c>
      <c r="K1022" s="66">
        <v>1305.5300157608767</v>
      </c>
      <c r="L1022" s="69">
        <v>4367.4366727608767</v>
      </c>
      <c r="M1022" s="64">
        <v>0</v>
      </c>
      <c r="N1022" s="67">
        <v>0</v>
      </c>
      <c r="O1022" s="64">
        <f t="shared" si="30"/>
        <v>4367.4366727608767</v>
      </c>
      <c r="P1022" s="64">
        <f t="shared" si="31"/>
        <v>42.07815465304887</v>
      </c>
    </row>
    <row r="1023" spans="1:16" ht="15">
      <c r="A1023" s="3" t="s">
        <v>683</v>
      </c>
      <c r="B1023" s="3" t="s">
        <v>684</v>
      </c>
      <c r="C1023" s="61" t="s">
        <v>3291</v>
      </c>
      <c r="D1023" s="3" t="s">
        <v>3248</v>
      </c>
      <c r="E1023" s="3">
        <v>1</v>
      </c>
      <c r="F1023" s="3" t="s">
        <v>1909</v>
      </c>
      <c r="G1023" s="9">
        <v>6390.6503130000001</v>
      </c>
      <c r="H1023" s="66">
        <v>188524.18423350001</v>
      </c>
      <c r="I1023" s="9">
        <v>9301.2491480906301</v>
      </c>
      <c r="J1023" s="10">
        <v>1.4554464244694827</v>
      </c>
      <c r="K1023" s="66">
        <v>153724.11842607224</v>
      </c>
      <c r="L1023" s="69">
        <v>342248.30265957222</v>
      </c>
      <c r="M1023" s="64">
        <v>1155439.4681349809</v>
      </c>
      <c r="N1023" s="67">
        <v>23159.977274464574</v>
      </c>
      <c r="O1023" s="64">
        <f t="shared" si="30"/>
        <v>365408.27993403678</v>
      </c>
      <c r="P1023" s="64">
        <f t="shared" si="31"/>
        <v>57.178575268109306</v>
      </c>
    </row>
    <row r="1024" spans="1:16" ht="15">
      <c r="A1024" s="19">
        <v>66092</v>
      </c>
      <c r="B1024" s="20" t="s">
        <v>1943</v>
      </c>
      <c r="C1024" s="61" t="s">
        <v>3291</v>
      </c>
      <c r="D1024" s="19" t="s">
        <v>1973</v>
      </c>
      <c r="E1024" s="19">
        <v>1</v>
      </c>
      <c r="F1024" s="19" t="s">
        <v>1974</v>
      </c>
      <c r="G1024" s="9">
        <v>138.81</v>
      </c>
      <c r="H1024" s="66">
        <v>4094.895</v>
      </c>
      <c r="I1024" s="9">
        <v>619.20486900000003</v>
      </c>
      <c r="J1024" s="10">
        <v>4.4608087961962397</v>
      </c>
      <c r="K1024" s="66">
        <v>25372.193805311541</v>
      </c>
      <c r="L1024" s="69">
        <v>29467.088805311541</v>
      </c>
      <c r="M1024" s="64">
        <v>0</v>
      </c>
      <c r="N1024" s="67">
        <v>0</v>
      </c>
      <c r="O1024" s="64">
        <f t="shared" si="30"/>
        <v>29467.088805311541</v>
      </c>
      <c r="P1024" s="64">
        <f t="shared" si="31"/>
        <v>212.28361649241077</v>
      </c>
    </row>
    <row r="1025" spans="1:16" ht="15">
      <c r="A1025" s="3" t="s">
        <v>488</v>
      </c>
      <c r="B1025" s="3" t="s">
        <v>1847</v>
      </c>
      <c r="C1025" s="61" t="s">
        <v>3291</v>
      </c>
      <c r="D1025" s="3" t="s">
        <v>456</v>
      </c>
      <c r="E1025" s="3">
        <v>1</v>
      </c>
      <c r="F1025" s="3" t="s">
        <v>1897</v>
      </c>
      <c r="G1025" s="9">
        <v>1014.8938470000001</v>
      </c>
      <c r="H1025" s="66">
        <v>29939.368486500003</v>
      </c>
      <c r="I1025" s="9">
        <v>1377.33890906798</v>
      </c>
      <c r="J1025" s="10">
        <v>1.3571260808599424</v>
      </c>
      <c r="K1025" s="66">
        <v>19142.640673306101</v>
      </c>
      <c r="L1025" s="69">
        <v>49082.009159806104</v>
      </c>
      <c r="M1025" s="64">
        <v>0</v>
      </c>
      <c r="N1025" s="67">
        <v>0</v>
      </c>
      <c r="O1025" s="64">
        <f t="shared" si="30"/>
        <v>49082.009159806104</v>
      </c>
      <c r="P1025" s="64">
        <f t="shared" si="31"/>
        <v>48.361717144006001</v>
      </c>
    </row>
    <row r="1026" spans="1:16" ht="15">
      <c r="A1026" s="3" t="s">
        <v>138</v>
      </c>
      <c r="B1026" s="3" t="s">
        <v>139</v>
      </c>
      <c r="C1026" s="61" t="s">
        <v>3291</v>
      </c>
      <c r="D1026" s="3" t="s">
        <v>1684</v>
      </c>
      <c r="E1026" s="3">
        <v>1</v>
      </c>
      <c r="F1026" s="3" t="s">
        <v>3266</v>
      </c>
      <c r="G1026" s="9">
        <v>519.52760499999999</v>
      </c>
      <c r="H1026" s="66">
        <v>15326.0643475</v>
      </c>
      <c r="I1026" s="9">
        <v>692.076220755127</v>
      </c>
      <c r="J1026" s="10">
        <v>1.3321259815541986</v>
      </c>
      <c r="K1026" s="66">
        <v>9113.2049950710734</v>
      </c>
      <c r="L1026" s="69">
        <v>24439.269342571075</v>
      </c>
      <c r="M1026" s="64">
        <v>0</v>
      </c>
      <c r="N1026" s="67">
        <v>0</v>
      </c>
      <c r="O1026" s="64">
        <f t="shared" si="30"/>
        <v>24439.269342571075</v>
      </c>
      <c r="P1026" s="64">
        <f t="shared" si="31"/>
        <v>47.041329675967987</v>
      </c>
    </row>
    <row r="1027" spans="1:16" ht="15">
      <c r="A1027" s="3" t="s">
        <v>1296</v>
      </c>
      <c r="B1027" s="3" t="s">
        <v>1297</v>
      </c>
      <c r="C1027" s="61" t="s">
        <v>3291</v>
      </c>
      <c r="D1027" s="3" t="s">
        <v>3248</v>
      </c>
      <c r="E1027" s="3">
        <v>1</v>
      </c>
      <c r="F1027" s="3" t="s">
        <v>1904</v>
      </c>
      <c r="G1027" s="9">
        <v>2889.592478</v>
      </c>
      <c r="H1027" s="66">
        <v>85242.978101000001</v>
      </c>
      <c r="I1027" s="9">
        <v>3374.3435042063502</v>
      </c>
      <c r="J1027" s="10">
        <v>1.1677575747781104</v>
      </c>
      <c r="K1027" s="66">
        <v>25602.26550677661</v>
      </c>
      <c r="L1027" s="69">
        <v>110845.24360777662</v>
      </c>
      <c r="M1027" s="64">
        <v>1583532.6298479515</v>
      </c>
      <c r="N1027" s="67">
        <v>31740.80575579514</v>
      </c>
      <c r="O1027" s="64">
        <f t="shared" ref="O1027:O1090" si="32">(N1027+L1027)</f>
        <v>142586.04936357174</v>
      </c>
      <c r="P1027" s="64">
        <f t="shared" ref="P1027:P1090" si="33">O1027/G1027</f>
        <v>49.344691491673984</v>
      </c>
    </row>
    <row r="1028" spans="1:16" ht="15">
      <c r="A1028" s="3" t="s">
        <v>735</v>
      </c>
      <c r="B1028" s="3" t="s">
        <v>736</v>
      </c>
      <c r="C1028" s="61" t="s">
        <v>3291</v>
      </c>
      <c r="D1028" s="3" t="s">
        <v>3248</v>
      </c>
      <c r="E1028" s="3">
        <v>1</v>
      </c>
      <c r="F1028" s="3" t="s">
        <v>1906</v>
      </c>
      <c r="G1028" s="9">
        <v>4328.6900169999999</v>
      </c>
      <c r="H1028" s="66">
        <v>127696.3555015</v>
      </c>
      <c r="I1028" s="9">
        <v>5164.8801778663601</v>
      </c>
      <c r="J1028" s="10">
        <v>1.1931739527622451</v>
      </c>
      <c r="K1028" s="66">
        <v>44163.624944120551</v>
      </c>
      <c r="L1028" s="69">
        <v>171859.98044562055</v>
      </c>
      <c r="M1028" s="64">
        <v>2307552.5814227615</v>
      </c>
      <c r="N1028" s="67">
        <v>46253.28008887083</v>
      </c>
      <c r="O1028" s="64">
        <f t="shared" si="32"/>
        <v>218113.26053449139</v>
      </c>
      <c r="P1028" s="64">
        <f t="shared" si="33"/>
        <v>50.387821645324202</v>
      </c>
    </row>
    <row r="1029" spans="1:16" ht="15">
      <c r="A1029" s="3" t="str">
        <f>"016431"</f>
        <v>016431</v>
      </c>
      <c r="B1029" s="3" t="s">
        <v>2634</v>
      </c>
      <c r="C1029" s="61" t="s">
        <v>3291</v>
      </c>
      <c r="D1029" s="3" t="s">
        <v>3249</v>
      </c>
      <c r="E1029" s="3">
        <v>1</v>
      </c>
      <c r="F1029" s="3" t="s">
        <v>3220</v>
      </c>
      <c r="G1029" s="9">
        <v>22</v>
      </c>
      <c r="H1029" s="66">
        <v>649</v>
      </c>
      <c r="I1029" s="9">
        <v>24</v>
      </c>
      <c r="J1029" s="10">
        <v>1.0909090909090908</v>
      </c>
      <c r="K1029" s="66">
        <v>105.63057785411749</v>
      </c>
      <c r="L1029" s="69">
        <v>754.63057785411752</v>
      </c>
      <c r="M1029" s="64">
        <v>0</v>
      </c>
      <c r="N1029" s="67">
        <v>0</v>
      </c>
      <c r="O1029" s="64">
        <f t="shared" si="32"/>
        <v>754.63057785411752</v>
      </c>
      <c r="P1029" s="64">
        <f t="shared" si="33"/>
        <v>34.301389902459889</v>
      </c>
    </row>
    <row r="1030" spans="1:16" ht="15">
      <c r="A1030" s="3" t="s">
        <v>746</v>
      </c>
      <c r="B1030" s="3" t="s">
        <v>1736</v>
      </c>
      <c r="C1030" s="61" t="s">
        <v>3291</v>
      </c>
      <c r="D1030" s="3" t="s">
        <v>3248</v>
      </c>
      <c r="E1030" s="3">
        <v>1</v>
      </c>
      <c r="F1030" s="3" t="s">
        <v>1906</v>
      </c>
      <c r="G1030" s="9">
        <v>969.46266500000002</v>
      </c>
      <c r="H1030" s="66">
        <v>28599.148617499999</v>
      </c>
      <c r="I1030" s="9">
        <v>1249.2852954183099</v>
      </c>
      <c r="J1030" s="10">
        <v>1.2886368299890227</v>
      </c>
      <c r="K1030" s="66">
        <v>14778.913073872616</v>
      </c>
      <c r="L1030" s="69">
        <v>43378.061691372612</v>
      </c>
      <c r="M1030" s="64">
        <v>286320.32755383413</v>
      </c>
      <c r="N1030" s="67">
        <v>5739.0910231477255</v>
      </c>
      <c r="O1030" s="64">
        <f t="shared" si="32"/>
        <v>49117.152714520336</v>
      </c>
      <c r="P1030" s="64">
        <f t="shared" si="33"/>
        <v>50.664305586765771</v>
      </c>
    </row>
    <row r="1031" spans="1:16" ht="15">
      <c r="A1031" s="3" t="str">
        <f>"090274"</f>
        <v>090274</v>
      </c>
      <c r="B1031" s="3" t="s">
        <v>2875</v>
      </c>
      <c r="C1031" s="61" t="s">
        <v>3291</v>
      </c>
      <c r="D1031" s="3" t="s">
        <v>3249</v>
      </c>
      <c r="E1031" s="3">
        <v>1</v>
      </c>
      <c r="F1031" s="3" t="s">
        <v>3220</v>
      </c>
      <c r="G1031" s="9">
        <v>490</v>
      </c>
      <c r="H1031" s="66">
        <v>14455</v>
      </c>
      <c r="I1031" s="9">
        <v>509.17239999999998</v>
      </c>
      <c r="J1031" s="10">
        <v>1.0391273469387754</v>
      </c>
      <c r="K1031" s="66">
        <v>1012.5958454251403</v>
      </c>
      <c r="L1031" s="69">
        <v>15467.595845425139</v>
      </c>
      <c r="M1031" s="64">
        <v>0</v>
      </c>
      <c r="N1031" s="67">
        <v>0</v>
      </c>
      <c r="O1031" s="64">
        <f t="shared" si="32"/>
        <v>15467.595845425139</v>
      </c>
      <c r="P1031" s="64">
        <f t="shared" si="33"/>
        <v>31.566522133520692</v>
      </c>
    </row>
    <row r="1032" spans="1:16" ht="15">
      <c r="A1032" s="3" t="s">
        <v>779</v>
      </c>
      <c r="B1032" s="3" t="s">
        <v>780</v>
      </c>
      <c r="C1032" s="61" t="s">
        <v>3291</v>
      </c>
      <c r="D1032" s="3" t="s">
        <v>3248</v>
      </c>
      <c r="E1032" s="3">
        <v>1</v>
      </c>
      <c r="F1032" s="3" t="s">
        <v>1905</v>
      </c>
      <c r="G1032" s="9">
        <v>1638.690245</v>
      </c>
      <c r="H1032" s="66">
        <v>48341.362227500002</v>
      </c>
      <c r="I1032" s="9">
        <v>2022.25684237068</v>
      </c>
      <c r="J1032" s="10">
        <v>1.234069006354938</v>
      </c>
      <c r="K1032" s="66">
        <v>20258.180662901279</v>
      </c>
      <c r="L1032" s="69">
        <v>68599.542890401281</v>
      </c>
      <c r="M1032" s="64">
        <v>1162037.2127127978</v>
      </c>
      <c r="N1032" s="67">
        <v>23292.224457202414</v>
      </c>
      <c r="O1032" s="64">
        <f t="shared" si="32"/>
        <v>91891.767347603687</v>
      </c>
      <c r="P1032" s="64">
        <f t="shared" si="33"/>
        <v>56.076349772622031</v>
      </c>
    </row>
    <row r="1033" spans="1:16" ht="15">
      <c r="A1033" s="3" t="str">
        <f>"014110"</f>
        <v>014110</v>
      </c>
      <c r="B1033" s="3" t="s">
        <v>2944</v>
      </c>
      <c r="C1033" s="61" t="s">
        <v>3291</v>
      </c>
      <c r="D1033" s="3" t="s">
        <v>3249</v>
      </c>
      <c r="E1033" s="3">
        <v>1</v>
      </c>
      <c r="F1033" s="3" t="s">
        <v>3220</v>
      </c>
      <c r="G1033" s="9">
        <v>208</v>
      </c>
      <c r="H1033" s="66">
        <v>6136</v>
      </c>
      <c r="I1033" s="9">
        <v>302.71320000000003</v>
      </c>
      <c r="J1033" s="10">
        <v>1.4553519230769232</v>
      </c>
      <c r="K1033" s="66">
        <v>5002.3050232063024</v>
      </c>
      <c r="L1033" s="69">
        <v>11138.305023206303</v>
      </c>
      <c r="M1033" s="64">
        <v>0</v>
      </c>
      <c r="N1033" s="67">
        <v>0</v>
      </c>
      <c r="O1033" s="64">
        <f t="shared" si="32"/>
        <v>11138.305023206303</v>
      </c>
      <c r="P1033" s="64">
        <f t="shared" si="33"/>
        <v>53.549543380799534</v>
      </c>
    </row>
    <row r="1034" spans="1:16" ht="15">
      <c r="A1034" s="3" t="str">
        <f>"057356"</f>
        <v>057356</v>
      </c>
      <c r="B1034" s="3" t="s">
        <v>2757</v>
      </c>
      <c r="C1034" s="61" t="s">
        <v>3291</v>
      </c>
      <c r="D1034" s="3" t="s">
        <v>3249</v>
      </c>
      <c r="E1034" s="3">
        <v>1</v>
      </c>
      <c r="F1034" s="3" t="s">
        <v>3220</v>
      </c>
      <c r="G1034" s="9">
        <v>216</v>
      </c>
      <c r="H1034" s="66">
        <v>6372</v>
      </c>
      <c r="I1034" s="9">
        <v>236.4862</v>
      </c>
      <c r="J1034" s="10">
        <v>1.0948435185185186</v>
      </c>
      <c r="K1034" s="66">
        <v>1081.9845720175108</v>
      </c>
      <c r="L1034" s="69">
        <v>7453.9845720175108</v>
      </c>
      <c r="M1034" s="64">
        <v>0</v>
      </c>
      <c r="N1034" s="67">
        <v>0</v>
      </c>
      <c r="O1034" s="64">
        <f t="shared" si="32"/>
        <v>7453.9845720175108</v>
      </c>
      <c r="P1034" s="64">
        <f t="shared" si="33"/>
        <v>34.509187833414401</v>
      </c>
    </row>
    <row r="1035" spans="1:16" ht="15">
      <c r="A1035" s="3" t="str">
        <f>"057158"</f>
        <v>057158</v>
      </c>
      <c r="B1035" s="3" t="s">
        <v>2625</v>
      </c>
      <c r="C1035" s="61" t="s">
        <v>3291</v>
      </c>
      <c r="D1035" s="3" t="s">
        <v>3249</v>
      </c>
      <c r="E1035" s="3">
        <v>1</v>
      </c>
      <c r="F1035" s="3" t="s">
        <v>3220</v>
      </c>
      <c r="G1035" s="9">
        <v>224</v>
      </c>
      <c r="H1035" s="66">
        <v>6608</v>
      </c>
      <c r="I1035" s="9">
        <v>230.63659999999999</v>
      </c>
      <c r="J1035" s="10">
        <v>1.0296276785714285</v>
      </c>
      <c r="K1035" s="66">
        <v>350.51394649331741</v>
      </c>
      <c r="L1035" s="69">
        <v>6958.5139464933172</v>
      </c>
      <c r="M1035" s="64">
        <v>0</v>
      </c>
      <c r="N1035" s="67">
        <v>0</v>
      </c>
      <c r="O1035" s="64">
        <f t="shared" si="32"/>
        <v>6958.5139464933172</v>
      </c>
      <c r="P1035" s="64">
        <f t="shared" si="33"/>
        <v>31.064794403988024</v>
      </c>
    </row>
    <row r="1036" spans="1:16" ht="15">
      <c r="A1036" s="3" t="str">
        <f>"057117"</f>
        <v>057117</v>
      </c>
      <c r="B1036" s="3" t="s">
        <v>2625</v>
      </c>
      <c r="C1036" s="61" t="s">
        <v>3291</v>
      </c>
      <c r="D1036" s="3" t="s">
        <v>3249</v>
      </c>
      <c r="E1036" s="3">
        <v>1</v>
      </c>
      <c r="F1036" s="3" t="s">
        <v>3220</v>
      </c>
      <c r="G1036" s="9">
        <v>157</v>
      </c>
      <c r="H1036" s="66">
        <v>4631.5</v>
      </c>
      <c r="I1036" s="9">
        <v>168.68619999999999</v>
      </c>
      <c r="J1036" s="10">
        <v>1.0744343949044586</v>
      </c>
      <c r="K1036" s="66">
        <v>617.21002945939324</v>
      </c>
      <c r="L1036" s="69">
        <v>5248.7100294593929</v>
      </c>
      <c r="M1036" s="64">
        <v>0</v>
      </c>
      <c r="N1036" s="67">
        <v>0</v>
      </c>
      <c r="O1036" s="64">
        <f t="shared" si="32"/>
        <v>5248.7100294593929</v>
      </c>
      <c r="P1036" s="64">
        <f t="shared" si="33"/>
        <v>33.431274072989766</v>
      </c>
    </row>
    <row r="1037" spans="1:16" ht="15">
      <c r="A1037" s="3" t="str">
        <f>"057299"</f>
        <v>057299</v>
      </c>
      <c r="B1037" s="3" t="s">
        <v>2818</v>
      </c>
      <c r="C1037" s="61" t="s">
        <v>3291</v>
      </c>
      <c r="D1037" s="3" t="s">
        <v>3249</v>
      </c>
      <c r="E1037" s="3">
        <v>1</v>
      </c>
      <c r="F1037" s="3" t="s">
        <v>3220</v>
      </c>
      <c r="G1037" s="9">
        <v>434</v>
      </c>
      <c r="H1037" s="66">
        <v>12803</v>
      </c>
      <c r="I1037" s="9">
        <v>480.66919999999999</v>
      </c>
      <c r="J1037" s="10">
        <v>1.1075327188940092</v>
      </c>
      <c r="K1037" s="66">
        <v>2464.8472819946896</v>
      </c>
      <c r="L1037" s="69">
        <v>15267.847281994689</v>
      </c>
      <c r="M1037" s="64">
        <v>0</v>
      </c>
      <c r="N1037" s="67">
        <v>0</v>
      </c>
      <c r="O1037" s="64">
        <f t="shared" si="32"/>
        <v>15267.847281994689</v>
      </c>
      <c r="P1037" s="64">
        <f t="shared" si="33"/>
        <v>35.179371617499285</v>
      </c>
    </row>
    <row r="1038" spans="1:16" ht="15">
      <c r="A1038" s="3" t="str">
        <f>"057307"</f>
        <v>057307</v>
      </c>
      <c r="B1038" s="3" t="s">
        <v>2689</v>
      </c>
      <c r="C1038" s="61" t="s">
        <v>3291</v>
      </c>
      <c r="D1038" s="3" t="s">
        <v>3249</v>
      </c>
      <c r="E1038" s="3">
        <v>1</v>
      </c>
      <c r="F1038" s="3" t="s">
        <v>3220</v>
      </c>
      <c r="G1038" s="9">
        <v>136</v>
      </c>
      <c r="H1038" s="66">
        <v>4012</v>
      </c>
      <c r="I1038" s="9">
        <v>151.81139999999999</v>
      </c>
      <c r="J1038" s="10">
        <v>1.1162602941176469</v>
      </c>
      <c r="K1038" s="66">
        <v>835.0836593412962</v>
      </c>
      <c r="L1038" s="69">
        <v>4847.083659341296</v>
      </c>
      <c r="M1038" s="64">
        <v>0</v>
      </c>
      <c r="N1038" s="67">
        <v>0</v>
      </c>
      <c r="O1038" s="64">
        <f t="shared" si="32"/>
        <v>4847.083659341296</v>
      </c>
      <c r="P1038" s="64">
        <f t="shared" si="33"/>
        <v>35.640321024568351</v>
      </c>
    </row>
    <row r="1039" spans="1:16" ht="15">
      <c r="A1039" s="3" t="str">
        <f>"057141"</f>
        <v>057141</v>
      </c>
      <c r="B1039" s="3" t="s">
        <v>2672</v>
      </c>
      <c r="C1039" s="61" t="s">
        <v>3291</v>
      </c>
      <c r="D1039" s="3" t="s">
        <v>3249</v>
      </c>
      <c r="E1039" s="3">
        <v>1</v>
      </c>
      <c r="F1039" s="3" t="s">
        <v>3220</v>
      </c>
      <c r="G1039" s="9">
        <v>170</v>
      </c>
      <c r="H1039" s="66">
        <v>5015</v>
      </c>
      <c r="I1039" s="9">
        <v>179.5488</v>
      </c>
      <c r="J1039" s="10">
        <v>1.0561694117647058</v>
      </c>
      <c r="K1039" s="66">
        <v>504.32263090669858</v>
      </c>
      <c r="L1039" s="69">
        <v>5519.3226309066986</v>
      </c>
      <c r="M1039" s="64">
        <v>0</v>
      </c>
      <c r="N1039" s="67">
        <v>0</v>
      </c>
      <c r="O1039" s="64">
        <f t="shared" si="32"/>
        <v>5519.3226309066986</v>
      </c>
      <c r="P1039" s="64">
        <f t="shared" si="33"/>
        <v>32.466603711215875</v>
      </c>
    </row>
    <row r="1040" spans="1:16" ht="15">
      <c r="A1040" s="3" t="str">
        <f>"057406"</f>
        <v>057406</v>
      </c>
      <c r="B1040" s="3" t="s">
        <v>2673</v>
      </c>
      <c r="C1040" s="61" t="s">
        <v>3291</v>
      </c>
      <c r="D1040" s="3" t="s">
        <v>3249</v>
      </c>
      <c r="E1040" s="3">
        <v>1</v>
      </c>
      <c r="F1040" s="3" t="s">
        <v>3220</v>
      </c>
      <c r="G1040" s="9">
        <v>313</v>
      </c>
      <c r="H1040" s="66">
        <v>9233.5</v>
      </c>
      <c r="I1040" s="9">
        <v>338.8732</v>
      </c>
      <c r="J1040" s="10">
        <v>1.082661980830671</v>
      </c>
      <c r="K1040" s="66">
        <v>1366.5005334675764</v>
      </c>
      <c r="L1040" s="69">
        <v>10600.000533467577</v>
      </c>
      <c r="M1040" s="64">
        <v>0</v>
      </c>
      <c r="N1040" s="67">
        <v>0</v>
      </c>
      <c r="O1040" s="64">
        <f t="shared" si="32"/>
        <v>10600.000533467577</v>
      </c>
      <c r="P1040" s="64">
        <f t="shared" si="33"/>
        <v>33.865816400854875</v>
      </c>
    </row>
    <row r="1041" spans="1:16" ht="15">
      <c r="A1041" s="3" t="str">
        <f>"057463"</f>
        <v>057463</v>
      </c>
      <c r="B1041" s="3" t="s">
        <v>2673</v>
      </c>
      <c r="C1041" s="61" t="s">
        <v>3291</v>
      </c>
      <c r="D1041" s="3" t="s">
        <v>3249</v>
      </c>
      <c r="E1041" s="3">
        <v>1</v>
      </c>
      <c r="F1041" s="3" t="s">
        <v>3220</v>
      </c>
      <c r="G1041" s="9">
        <v>191</v>
      </c>
      <c r="H1041" s="66">
        <v>5634.5</v>
      </c>
      <c r="I1041" s="9">
        <v>202.56100000000001</v>
      </c>
      <c r="J1041" s="10">
        <v>1.0605287958115184</v>
      </c>
      <c r="K1041" s="66">
        <v>610.59755528572657</v>
      </c>
      <c r="L1041" s="69">
        <v>6245.0975552857262</v>
      </c>
      <c r="M1041" s="64">
        <v>0</v>
      </c>
      <c r="N1041" s="67">
        <v>0</v>
      </c>
      <c r="O1041" s="64">
        <f t="shared" si="32"/>
        <v>6245.0975552857262</v>
      </c>
      <c r="P1041" s="64">
        <f t="shared" si="33"/>
        <v>32.696845839192285</v>
      </c>
    </row>
    <row r="1042" spans="1:16" ht="15">
      <c r="A1042" s="3" t="s">
        <v>351</v>
      </c>
      <c r="B1042" s="3" t="s">
        <v>352</v>
      </c>
      <c r="C1042" s="61" t="s">
        <v>3291</v>
      </c>
      <c r="D1042" s="3" t="s">
        <v>1684</v>
      </c>
      <c r="E1042" s="3">
        <v>1</v>
      </c>
      <c r="F1042" s="3" t="s">
        <v>3266</v>
      </c>
      <c r="G1042" s="9">
        <v>95.493976000000004</v>
      </c>
      <c r="H1042" s="66">
        <v>2817.0722920000003</v>
      </c>
      <c r="I1042" s="9">
        <v>252.37864614721201</v>
      </c>
      <c r="J1042" s="10">
        <v>2.6428750453035068</v>
      </c>
      <c r="K1042" s="66">
        <v>8285.9091820513095</v>
      </c>
      <c r="L1042" s="69">
        <v>11102.98147405131</v>
      </c>
      <c r="M1042" s="64">
        <v>0</v>
      </c>
      <c r="N1042" s="67">
        <v>0</v>
      </c>
      <c r="O1042" s="64">
        <f t="shared" si="32"/>
        <v>11102.98147405131</v>
      </c>
      <c r="P1042" s="64">
        <f t="shared" si="33"/>
        <v>116.26892018875944</v>
      </c>
    </row>
    <row r="1043" spans="1:16" ht="15">
      <c r="A1043" s="3" t="s">
        <v>79</v>
      </c>
      <c r="B1043" s="3" t="s">
        <v>1703</v>
      </c>
      <c r="C1043" s="61" t="s">
        <v>3291</v>
      </c>
      <c r="D1043" s="3" t="s">
        <v>1684</v>
      </c>
      <c r="E1043" s="3">
        <v>1</v>
      </c>
      <c r="F1043" s="3" t="s">
        <v>3266</v>
      </c>
      <c r="G1043" s="9">
        <v>113.90347800000001</v>
      </c>
      <c r="H1043" s="66">
        <v>3360.1526010000002</v>
      </c>
      <c r="I1043" s="9">
        <v>304.93613190281201</v>
      </c>
      <c r="J1043" s="10">
        <v>2.6771450464647972</v>
      </c>
      <c r="K1043" s="66">
        <v>10089.444810379833</v>
      </c>
      <c r="L1043" s="69">
        <v>13449.597411379833</v>
      </c>
      <c r="M1043" s="64">
        <v>0</v>
      </c>
      <c r="N1043" s="67">
        <v>0</v>
      </c>
      <c r="O1043" s="64">
        <f t="shared" si="32"/>
        <v>13449.597411379833</v>
      </c>
      <c r="P1043" s="64">
        <f t="shared" si="33"/>
        <v>118.07890020162363</v>
      </c>
    </row>
    <row r="1044" spans="1:16" ht="15">
      <c r="A1044" s="3" t="s">
        <v>950</v>
      </c>
      <c r="B1044" s="3" t="s">
        <v>951</v>
      </c>
      <c r="C1044" s="61" t="s">
        <v>3291</v>
      </c>
      <c r="D1044" s="3" t="s">
        <v>3248</v>
      </c>
      <c r="E1044" s="3">
        <v>1</v>
      </c>
      <c r="F1044" s="3" t="s">
        <v>1904</v>
      </c>
      <c r="G1044" s="9">
        <v>999.87769500000002</v>
      </c>
      <c r="H1044" s="66">
        <v>29496.392002500001</v>
      </c>
      <c r="I1044" s="9">
        <v>1205.7386409958799</v>
      </c>
      <c r="J1044" s="10">
        <v>1.2058861268986303</v>
      </c>
      <c r="K1044" s="66">
        <v>10872.605341570035</v>
      </c>
      <c r="L1044" s="69">
        <v>40368.997344070034</v>
      </c>
      <c r="M1044" s="64">
        <v>570626.53112195805</v>
      </c>
      <c r="N1044" s="67">
        <v>11437.810337501138</v>
      </c>
      <c r="O1044" s="64">
        <f t="shared" si="32"/>
        <v>51806.807681571168</v>
      </c>
      <c r="P1044" s="64">
        <f t="shared" si="33"/>
        <v>51.813144688232263</v>
      </c>
    </row>
    <row r="1045" spans="1:16" ht="15">
      <c r="A1045" s="3" t="str">
        <f>"019206"</f>
        <v>019206</v>
      </c>
      <c r="B1045" s="3" t="s">
        <v>2601</v>
      </c>
      <c r="C1045" s="61" t="s">
        <v>3277</v>
      </c>
      <c r="D1045" s="3" t="s">
        <v>3249</v>
      </c>
      <c r="E1045" s="3">
        <v>1</v>
      </c>
      <c r="F1045" s="3" t="s">
        <v>3220</v>
      </c>
      <c r="G1045" s="9">
        <v>7</v>
      </c>
      <c r="H1045" s="66">
        <v>206.5</v>
      </c>
      <c r="I1045" s="9">
        <v>7</v>
      </c>
      <c r="J1045" s="10">
        <v>1</v>
      </c>
      <c r="K1045" s="66">
        <v>0</v>
      </c>
      <c r="L1045" s="69">
        <v>206.5</v>
      </c>
      <c r="M1045" s="64">
        <v>0</v>
      </c>
      <c r="N1045" s="67">
        <v>0</v>
      </c>
      <c r="O1045" s="64">
        <f t="shared" si="32"/>
        <v>206.5</v>
      </c>
      <c r="P1045" s="64">
        <f t="shared" si="33"/>
        <v>29.5</v>
      </c>
    </row>
    <row r="1046" spans="1:16" ht="15">
      <c r="A1046" s="3" t="s">
        <v>279</v>
      </c>
      <c r="B1046" s="3" t="s">
        <v>1807</v>
      </c>
      <c r="C1046" s="61" t="s">
        <v>3277</v>
      </c>
      <c r="D1046" s="3" t="s">
        <v>1684</v>
      </c>
      <c r="E1046" s="3">
        <v>1</v>
      </c>
      <c r="F1046" s="3" t="s">
        <v>3266</v>
      </c>
      <c r="G1046" s="9">
        <v>137.17065700000001</v>
      </c>
      <c r="H1046" s="66">
        <v>4046.5343815000001</v>
      </c>
      <c r="I1046" s="9">
        <v>180.131415739685</v>
      </c>
      <c r="J1046" s="10">
        <v>1.3131920461654201</v>
      </c>
      <c r="K1046" s="66">
        <v>2268.9848853621274</v>
      </c>
      <c r="L1046" s="69">
        <v>6315.5192668621276</v>
      </c>
      <c r="M1046" s="64">
        <v>69764.25</v>
      </c>
      <c r="N1046" s="67">
        <v>1398.3756736110656</v>
      </c>
      <c r="O1046" s="64">
        <f t="shared" si="32"/>
        <v>7713.8949404731929</v>
      </c>
      <c r="P1046" s="64">
        <f t="shared" si="33"/>
        <v>56.235751210794248</v>
      </c>
    </row>
    <row r="1047" spans="1:16" ht="15">
      <c r="A1047" s="3" t="s">
        <v>197</v>
      </c>
      <c r="B1047" s="3" t="s">
        <v>198</v>
      </c>
      <c r="C1047" s="61" t="s">
        <v>3277</v>
      </c>
      <c r="D1047" s="3" t="s">
        <v>1684</v>
      </c>
      <c r="E1047" s="3">
        <v>1</v>
      </c>
      <c r="F1047" s="3" t="s">
        <v>3266</v>
      </c>
      <c r="G1047" s="9">
        <v>144.58327199999999</v>
      </c>
      <c r="H1047" s="66">
        <v>4265.2065240000002</v>
      </c>
      <c r="I1047" s="9">
        <v>223.567082576263</v>
      </c>
      <c r="J1047" s="10">
        <v>1.546285953303526</v>
      </c>
      <c r="K1047" s="66">
        <v>4171.5527761454096</v>
      </c>
      <c r="L1047" s="69">
        <v>8436.7593001454097</v>
      </c>
      <c r="M1047" s="64">
        <v>0</v>
      </c>
      <c r="N1047" s="67">
        <v>0</v>
      </c>
      <c r="O1047" s="64">
        <f t="shared" si="32"/>
        <v>8436.7593001454097</v>
      </c>
      <c r="P1047" s="64">
        <f t="shared" si="33"/>
        <v>58.352250460519457</v>
      </c>
    </row>
    <row r="1048" spans="1:16" ht="15">
      <c r="A1048" s="3" t="s">
        <v>1298</v>
      </c>
      <c r="B1048" s="3" t="s">
        <v>1299</v>
      </c>
      <c r="C1048" s="61" t="s">
        <v>3277</v>
      </c>
      <c r="D1048" s="3" t="s">
        <v>3248</v>
      </c>
      <c r="E1048" s="3">
        <v>1</v>
      </c>
      <c r="F1048" s="3" t="s">
        <v>1906</v>
      </c>
      <c r="G1048" s="9">
        <v>4010.575421</v>
      </c>
      <c r="H1048" s="66">
        <v>118311.9749195</v>
      </c>
      <c r="I1048" s="9">
        <v>4631.10141570013</v>
      </c>
      <c r="J1048" s="10">
        <v>1.1547224349530889</v>
      </c>
      <c r="K1048" s="66">
        <v>32773.259696837893</v>
      </c>
      <c r="L1048" s="69">
        <v>151085.2346163379</v>
      </c>
      <c r="M1048" s="64">
        <v>2704280.7926872219</v>
      </c>
      <c r="N1048" s="67">
        <v>54205.420041173806</v>
      </c>
      <c r="O1048" s="64">
        <f t="shared" si="32"/>
        <v>205290.65465751171</v>
      </c>
      <c r="P1048" s="64">
        <f t="shared" si="33"/>
        <v>51.187331768548162</v>
      </c>
    </row>
    <row r="1049" spans="1:16" ht="15">
      <c r="A1049" s="3" t="s">
        <v>397</v>
      </c>
      <c r="B1049" s="3" t="s">
        <v>398</v>
      </c>
      <c r="C1049" s="61" t="s">
        <v>3277</v>
      </c>
      <c r="D1049" s="3" t="s">
        <v>1684</v>
      </c>
      <c r="E1049" s="3">
        <v>1</v>
      </c>
      <c r="F1049" s="3" t="s">
        <v>3266</v>
      </c>
      <c r="G1049" s="9">
        <v>107.41034000000001</v>
      </c>
      <c r="H1049" s="66">
        <v>3168.6050300000002</v>
      </c>
      <c r="I1049" s="9">
        <v>593.61639475591596</v>
      </c>
      <c r="J1049" s="10">
        <v>5.5266224346363293</v>
      </c>
      <c r="K1049" s="66">
        <v>25679.113260019043</v>
      </c>
      <c r="L1049" s="69">
        <v>28847.718290019042</v>
      </c>
      <c r="M1049" s="64">
        <v>0</v>
      </c>
      <c r="N1049" s="67">
        <v>0</v>
      </c>
      <c r="O1049" s="64">
        <f t="shared" si="32"/>
        <v>28847.718290019042</v>
      </c>
      <c r="P1049" s="64">
        <f t="shared" si="33"/>
        <v>268.57487174902377</v>
      </c>
    </row>
    <row r="1050" spans="1:16" ht="15">
      <c r="A1050" s="3" t="s">
        <v>116</v>
      </c>
      <c r="B1050" s="3" t="s">
        <v>117</v>
      </c>
      <c r="C1050" s="61" t="s">
        <v>3277</v>
      </c>
      <c r="D1050" s="3" t="s">
        <v>1684</v>
      </c>
      <c r="E1050" s="3">
        <v>1</v>
      </c>
      <c r="F1050" s="3" t="s">
        <v>3266</v>
      </c>
      <c r="G1050" s="9">
        <v>677.38704299999995</v>
      </c>
      <c r="H1050" s="66">
        <v>19982.9177685</v>
      </c>
      <c r="I1050" s="9">
        <v>929.77067934748698</v>
      </c>
      <c r="J1050" s="10">
        <v>1.37258409199818</v>
      </c>
      <c r="K1050" s="66">
        <v>13329.714674154253</v>
      </c>
      <c r="L1050" s="69">
        <v>33312.632442654256</v>
      </c>
      <c r="M1050" s="64">
        <v>0</v>
      </c>
      <c r="N1050" s="67">
        <v>0</v>
      </c>
      <c r="O1050" s="64">
        <f t="shared" si="32"/>
        <v>33312.632442654256</v>
      </c>
      <c r="P1050" s="64">
        <f t="shared" si="33"/>
        <v>49.178136468509713</v>
      </c>
    </row>
    <row r="1051" spans="1:16" ht="15">
      <c r="A1051" s="3" t="str">
        <f>"058487"</f>
        <v>058487</v>
      </c>
      <c r="B1051" s="3" t="s">
        <v>2669</v>
      </c>
      <c r="C1051" s="61" t="s">
        <v>3277</v>
      </c>
      <c r="D1051" s="3" t="s">
        <v>3249</v>
      </c>
      <c r="E1051" s="3">
        <v>1</v>
      </c>
      <c r="F1051" s="3" t="s">
        <v>3220</v>
      </c>
      <c r="G1051" s="9">
        <v>229</v>
      </c>
      <c r="H1051" s="66">
        <v>6755.5</v>
      </c>
      <c r="I1051" s="9">
        <v>257.96019999999999</v>
      </c>
      <c r="J1051" s="10">
        <v>1.1264637554585153</v>
      </c>
      <c r="K1051" s="66">
        <v>1529.5413303854061</v>
      </c>
      <c r="L1051" s="69">
        <v>8285.0413303854057</v>
      </c>
      <c r="M1051" s="64">
        <v>0</v>
      </c>
      <c r="N1051" s="67">
        <v>0</v>
      </c>
      <c r="O1051" s="64">
        <f t="shared" si="32"/>
        <v>8285.0413303854057</v>
      </c>
      <c r="P1051" s="64">
        <f t="shared" si="33"/>
        <v>36.179219783342383</v>
      </c>
    </row>
    <row r="1052" spans="1:16" ht="15">
      <c r="A1052" s="3" t="str">
        <f>"052795"</f>
        <v>052795</v>
      </c>
      <c r="B1052" s="3" t="s">
        <v>2913</v>
      </c>
      <c r="C1052" s="61" t="s">
        <v>3277</v>
      </c>
      <c r="D1052" s="3" t="s">
        <v>3249</v>
      </c>
      <c r="E1052" s="3">
        <v>1</v>
      </c>
      <c r="F1052" s="3" t="s">
        <v>3220</v>
      </c>
      <c r="G1052" s="9">
        <v>472</v>
      </c>
      <c r="H1052" s="66">
        <v>13924</v>
      </c>
      <c r="I1052" s="9">
        <v>517.52120000000002</v>
      </c>
      <c r="J1052" s="10">
        <v>1.0964432203389831</v>
      </c>
      <c r="K1052" s="66">
        <v>2404.2153303064279</v>
      </c>
      <c r="L1052" s="69">
        <v>16328.215330306428</v>
      </c>
      <c r="M1052" s="64">
        <v>0</v>
      </c>
      <c r="N1052" s="67">
        <v>0</v>
      </c>
      <c r="O1052" s="64">
        <f t="shared" si="32"/>
        <v>16328.215330306428</v>
      </c>
      <c r="P1052" s="64">
        <f t="shared" si="33"/>
        <v>34.593676547259378</v>
      </c>
    </row>
    <row r="1053" spans="1:16" ht="15">
      <c r="A1053" s="3" t="str">
        <f>"058693"</f>
        <v>058693</v>
      </c>
      <c r="B1053" s="3" t="s">
        <v>2962</v>
      </c>
      <c r="C1053" s="61" t="s">
        <v>3277</v>
      </c>
      <c r="D1053" s="3" t="s">
        <v>3249</v>
      </c>
      <c r="E1053" s="3">
        <v>1</v>
      </c>
      <c r="F1053" s="3" t="s">
        <v>3220</v>
      </c>
      <c r="G1053" s="9">
        <v>320</v>
      </c>
      <c r="H1053" s="66">
        <v>9440</v>
      </c>
      <c r="I1053" s="9">
        <v>384.27640000000002</v>
      </c>
      <c r="J1053" s="10">
        <v>1.2008637500000001</v>
      </c>
      <c r="K1053" s="66">
        <v>3394.7766371912003</v>
      </c>
      <c r="L1053" s="69">
        <v>12834.7766371912</v>
      </c>
      <c r="M1053" s="64">
        <v>0</v>
      </c>
      <c r="N1053" s="67">
        <v>0</v>
      </c>
      <c r="O1053" s="64">
        <f t="shared" si="32"/>
        <v>12834.7766371912</v>
      </c>
      <c r="P1053" s="64">
        <f t="shared" si="33"/>
        <v>40.108676991222502</v>
      </c>
    </row>
    <row r="1054" spans="1:16" ht="15">
      <c r="A1054" s="3" t="s">
        <v>162</v>
      </c>
      <c r="B1054" s="3" t="s">
        <v>1788</v>
      </c>
      <c r="C1054" s="61" t="s">
        <v>3277</v>
      </c>
      <c r="D1054" s="3" t="s">
        <v>1684</v>
      </c>
      <c r="E1054" s="3">
        <v>1</v>
      </c>
      <c r="F1054" s="3" t="s">
        <v>3266</v>
      </c>
      <c r="G1054" s="9">
        <v>121.020808</v>
      </c>
      <c r="H1054" s="66">
        <v>3570.113836</v>
      </c>
      <c r="I1054" s="9">
        <v>154.811550911095</v>
      </c>
      <c r="J1054" s="10">
        <v>1.279214322474983</v>
      </c>
      <c r="K1054" s="66">
        <v>1784.6678499094444</v>
      </c>
      <c r="L1054" s="69">
        <v>5354.7816859094446</v>
      </c>
      <c r="M1054" s="64">
        <v>35016.480000000003</v>
      </c>
      <c r="N1054" s="67">
        <v>701.88088895800365</v>
      </c>
      <c r="O1054" s="64">
        <f t="shared" si="32"/>
        <v>6056.6625748674487</v>
      </c>
      <c r="P1054" s="64">
        <f t="shared" si="33"/>
        <v>50.046456266160845</v>
      </c>
    </row>
    <row r="1055" spans="1:16" ht="15">
      <c r="A1055" s="3" t="str">
        <f>"052852"</f>
        <v>052852</v>
      </c>
      <c r="B1055" s="3" t="s">
        <v>2775</v>
      </c>
      <c r="C1055" s="61" t="s">
        <v>3277</v>
      </c>
      <c r="D1055" s="3" t="s">
        <v>3249</v>
      </c>
      <c r="E1055" s="3">
        <v>1</v>
      </c>
      <c r="F1055" s="3" t="s">
        <v>3220</v>
      </c>
      <c r="G1055" s="9">
        <v>554</v>
      </c>
      <c r="H1055" s="66">
        <v>16343</v>
      </c>
      <c r="I1055" s="9">
        <v>593.65940000000001</v>
      </c>
      <c r="J1055" s="10">
        <v>1.0715873646209386</v>
      </c>
      <c r="K1055" s="66">
        <v>2094.622669673794</v>
      </c>
      <c r="L1055" s="69">
        <v>18437.622669673794</v>
      </c>
      <c r="M1055" s="64">
        <v>0</v>
      </c>
      <c r="N1055" s="67">
        <v>0</v>
      </c>
      <c r="O1055" s="64">
        <f t="shared" si="32"/>
        <v>18437.622669673794</v>
      </c>
      <c r="P1055" s="64">
        <f t="shared" si="33"/>
        <v>33.280907345981575</v>
      </c>
    </row>
    <row r="1056" spans="1:16" ht="15">
      <c r="A1056" s="3" t="str">
        <f>"058495"</f>
        <v>058495</v>
      </c>
      <c r="B1056" s="3" t="s">
        <v>2792</v>
      </c>
      <c r="C1056" s="61" t="s">
        <v>3277</v>
      </c>
      <c r="D1056" s="3" t="s">
        <v>3249</v>
      </c>
      <c r="E1056" s="3">
        <v>1</v>
      </c>
      <c r="F1056" s="3" t="s">
        <v>3220</v>
      </c>
      <c r="G1056" s="9">
        <v>366</v>
      </c>
      <c r="H1056" s="66">
        <v>10797</v>
      </c>
      <c r="I1056" s="9">
        <v>382.8236</v>
      </c>
      <c r="J1056" s="10">
        <v>1.0459661202185793</v>
      </c>
      <c r="K1056" s="66">
        <v>888.54329479326543</v>
      </c>
      <c r="L1056" s="69">
        <v>11685.543294793266</v>
      </c>
      <c r="M1056" s="64">
        <v>0</v>
      </c>
      <c r="N1056" s="67">
        <v>0</v>
      </c>
      <c r="O1056" s="64">
        <f t="shared" si="32"/>
        <v>11685.543294793266</v>
      </c>
      <c r="P1056" s="64">
        <f t="shared" si="33"/>
        <v>31.92771392020018</v>
      </c>
    </row>
    <row r="1057" spans="1:16" ht="15">
      <c r="A1057" s="3" t="s">
        <v>312</v>
      </c>
      <c r="B1057" s="3" t="s">
        <v>313</v>
      </c>
      <c r="C1057" s="61" t="s">
        <v>3277</v>
      </c>
      <c r="D1057" s="3" t="s">
        <v>1684</v>
      </c>
      <c r="E1057" s="3">
        <v>1</v>
      </c>
      <c r="F1057" s="3" t="s">
        <v>3266</v>
      </c>
      <c r="G1057" s="9">
        <v>341.48340400000001</v>
      </c>
      <c r="H1057" s="66">
        <v>10073.760418</v>
      </c>
      <c r="I1057" s="9">
        <v>527.281440357983</v>
      </c>
      <c r="J1057" s="10">
        <v>1.5440909695218541</v>
      </c>
      <c r="K1057" s="66">
        <v>9812.9769723270383</v>
      </c>
      <c r="L1057" s="69">
        <v>19886.737390327038</v>
      </c>
      <c r="M1057" s="64">
        <v>146095.78</v>
      </c>
      <c r="N1057" s="67">
        <v>2928.3878887715991</v>
      </c>
      <c r="O1057" s="64">
        <f t="shared" si="32"/>
        <v>22815.125279098636</v>
      </c>
      <c r="P1057" s="64">
        <f t="shared" si="33"/>
        <v>66.811812849032734</v>
      </c>
    </row>
    <row r="1058" spans="1:16" ht="15">
      <c r="A1058" s="3" t="str">
        <f>"013208"</f>
        <v>013208</v>
      </c>
      <c r="B1058" s="3" t="s">
        <v>3186</v>
      </c>
      <c r="C1058" s="61" t="s">
        <v>3277</v>
      </c>
      <c r="D1058" s="3" t="s">
        <v>3249</v>
      </c>
      <c r="E1058" s="3">
        <v>1</v>
      </c>
      <c r="F1058" s="3" t="s">
        <v>3220</v>
      </c>
      <c r="G1058" s="9">
        <v>37</v>
      </c>
      <c r="H1058" s="66">
        <v>1091.5</v>
      </c>
      <c r="I1058" s="9">
        <v>37</v>
      </c>
      <c r="J1058" s="10">
        <v>1</v>
      </c>
      <c r="K1058" s="66">
        <v>0</v>
      </c>
      <c r="L1058" s="69">
        <v>1091.5</v>
      </c>
      <c r="M1058" s="64">
        <v>0</v>
      </c>
      <c r="N1058" s="67">
        <v>0</v>
      </c>
      <c r="O1058" s="64">
        <f t="shared" si="32"/>
        <v>1091.5</v>
      </c>
      <c r="P1058" s="64">
        <f t="shared" si="33"/>
        <v>29.5</v>
      </c>
    </row>
    <row r="1059" spans="1:16" ht="15">
      <c r="A1059" s="3" t="str">
        <f>"008972"</f>
        <v>008972</v>
      </c>
      <c r="B1059" s="3" t="s">
        <v>3186</v>
      </c>
      <c r="C1059" s="61" t="s">
        <v>3277</v>
      </c>
      <c r="D1059" s="3" t="s">
        <v>3249</v>
      </c>
      <c r="E1059" s="3">
        <v>1</v>
      </c>
      <c r="F1059" s="3" t="s">
        <v>3220</v>
      </c>
      <c r="G1059" s="9">
        <v>12</v>
      </c>
      <c r="H1059" s="66">
        <v>354</v>
      </c>
      <c r="I1059" s="9">
        <v>12</v>
      </c>
      <c r="J1059" s="10">
        <v>1</v>
      </c>
      <c r="K1059" s="66">
        <v>0</v>
      </c>
      <c r="L1059" s="69">
        <v>354</v>
      </c>
      <c r="M1059" s="64">
        <v>0</v>
      </c>
      <c r="N1059" s="67">
        <v>0</v>
      </c>
      <c r="O1059" s="64">
        <f t="shared" si="32"/>
        <v>354</v>
      </c>
      <c r="P1059" s="64">
        <f t="shared" si="33"/>
        <v>29.5</v>
      </c>
    </row>
    <row r="1060" spans="1:16" ht="15">
      <c r="A1060" s="3" t="s">
        <v>155</v>
      </c>
      <c r="B1060" s="3" t="s">
        <v>156</v>
      </c>
      <c r="C1060" s="61" t="s">
        <v>3277</v>
      </c>
      <c r="D1060" s="3" t="s">
        <v>1684</v>
      </c>
      <c r="E1060" s="3">
        <v>1</v>
      </c>
      <c r="F1060" s="3" t="s">
        <v>3266</v>
      </c>
      <c r="G1060" s="9">
        <v>71.478147000000007</v>
      </c>
      <c r="H1060" s="66">
        <v>2108.6053365000002</v>
      </c>
      <c r="I1060" s="9">
        <v>89.025740592145297</v>
      </c>
      <c r="J1060" s="10">
        <v>1.2454959218814847</v>
      </c>
      <c r="K1060" s="66">
        <v>926.78122554375818</v>
      </c>
      <c r="L1060" s="69">
        <v>3035.3865620437582</v>
      </c>
      <c r="M1060" s="64">
        <v>0</v>
      </c>
      <c r="N1060" s="67">
        <v>0</v>
      </c>
      <c r="O1060" s="64">
        <f t="shared" si="32"/>
        <v>3035.3865620437582</v>
      </c>
      <c r="P1060" s="64">
        <f t="shared" si="33"/>
        <v>42.465938044585265</v>
      </c>
    </row>
    <row r="1061" spans="1:16" ht="15">
      <c r="A1061" s="3" t="str">
        <f>"132530"</f>
        <v>132530</v>
      </c>
      <c r="B1061" s="3" t="s">
        <v>2859</v>
      </c>
      <c r="C1061" s="61" t="s">
        <v>3277</v>
      </c>
      <c r="D1061" s="3" t="s">
        <v>3249</v>
      </c>
      <c r="E1061" s="3">
        <v>1</v>
      </c>
      <c r="F1061" s="3" t="s">
        <v>3220</v>
      </c>
      <c r="G1061" s="9">
        <v>474</v>
      </c>
      <c r="H1061" s="66">
        <v>13983</v>
      </c>
      <c r="I1061" s="9">
        <v>490.22280000000001</v>
      </c>
      <c r="J1061" s="10">
        <v>1.0342253164556963</v>
      </c>
      <c r="K1061" s="66">
        <v>856.81186920588902</v>
      </c>
      <c r="L1061" s="69">
        <v>14839.811869205889</v>
      </c>
      <c r="M1061" s="64">
        <v>0</v>
      </c>
      <c r="N1061" s="67">
        <v>0</v>
      </c>
      <c r="O1061" s="64">
        <f t="shared" si="32"/>
        <v>14839.811869205889</v>
      </c>
      <c r="P1061" s="64">
        <f t="shared" si="33"/>
        <v>31.307619977227613</v>
      </c>
    </row>
    <row r="1062" spans="1:16" ht="15">
      <c r="A1062" s="3" t="str">
        <f>"058503"</f>
        <v>058503</v>
      </c>
      <c r="B1062" s="3" t="s">
        <v>2777</v>
      </c>
      <c r="C1062" s="61" t="s">
        <v>3277</v>
      </c>
      <c r="D1062" s="3" t="s">
        <v>3249</v>
      </c>
      <c r="E1062" s="3">
        <v>1</v>
      </c>
      <c r="F1062" s="3" t="s">
        <v>3220</v>
      </c>
      <c r="G1062" s="9">
        <v>334</v>
      </c>
      <c r="H1062" s="66">
        <v>9853</v>
      </c>
      <c r="I1062" s="9">
        <v>370.28620000000001</v>
      </c>
      <c r="J1062" s="10">
        <v>1.1086413173652694</v>
      </c>
      <c r="K1062" s="66">
        <v>1916.4661370650394</v>
      </c>
      <c r="L1062" s="69">
        <v>11769.466137065039</v>
      </c>
      <c r="M1062" s="64">
        <v>0</v>
      </c>
      <c r="N1062" s="67">
        <v>0</v>
      </c>
      <c r="O1062" s="64">
        <f t="shared" si="32"/>
        <v>11769.466137065039</v>
      </c>
      <c r="P1062" s="64">
        <f t="shared" si="33"/>
        <v>35.237922566062991</v>
      </c>
    </row>
    <row r="1063" spans="1:16" ht="15">
      <c r="A1063" s="3" t="s">
        <v>3</v>
      </c>
      <c r="B1063" s="3" t="s">
        <v>4</v>
      </c>
      <c r="C1063" s="61" t="s">
        <v>3277</v>
      </c>
      <c r="D1063" s="3" t="s">
        <v>1684</v>
      </c>
      <c r="E1063" s="3">
        <v>1</v>
      </c>
      <c r="F1063" s="3" t="s">
        <v>3266</v>
      </c>
      <c r="G1063" s="9">
        <v>199.01086599999999</v>
      </c>
      <c r="H1063" s="66">
        <v>5870.8205469999994</v>
      </c>
      <c r="I1063" s="9">
        <v>267.21612813013797</v>
      </c>
      <c r="J1063" s="10">
        <v>1.3427212970880593</v>
      </c>
      <c r="K1063" s="66">
        <v>3602.2806257490161</v>
      </c>
      <c r="L1063" s="69">
        <v>9473.1011727490149</v>
      </c>
      <c r="M1063" s="64">
        <v>0</v>
      </c>
      <c r="N1063" s="67">
        <v>0</v>
      </c>
      <c r="O1063" s="64">
        <f t="shared" si="32"/>
        <v>9473.1011727490149</v>
      </c>
      <c r="P1063" s="64">
        <f t="shared" si="33"/>
        <v>47.60092432716219</v>
      </c>
    </row>
    <row r="1064" spans="1:16" ht="15">
      <c r="A1064" s="3" t="s">
        <v>302</v>
      </c>
      <c r="B1064" s="3" t="s">
        <v>1812</v>
      </c>
      <c r="C1064" s="61" t="s">
        <v>3277</v>
      </c>
      <c r="D1064" s="3" t="s">
        <v>1684</v>
      </c>
      <c r="E1064" s="3">
        <v>1</v>
      </c>
      <c r="F1064" s="3" t="s">
        <v>3266</v>
      </c>
      <c r="G1064" s="9">
        <v>67.265264999999999</v>
      </c>
      <c r="H1064" s="66">
        <v>1984.3253175</v>
      </c>
      <c r="I1064" s="9">
        <v>151.424811314827</v>
      </c>
      <c r="J1064" s="10">
        <v>2.2511590687233149</v>
      </c>
      <c r="K1064" s="66">
        <v>4444.9107545877705</v>
      </c>
      <c r="L1064" s="69">
        <v>6429.2360720877705</v>
      </c>
      <c r="M1064" s="64">
        <v>0</v>
      </c>
      <c r="N1064" s="67">
        <v>0</v>
      </c>
      <c r="O1064" s="64">
        <f t="shared" si="32"/>
        <v>6429.2360720877705</v>
      </c>
      <c r="P1064" s="64">
        <f t="shared" si="33"/>
        <v>95.580327708331637</v>
      </c>
    </row>
    <row r="1065" spans="1:16" ht="15">
      <c r="A1065" s="3" t="s">
        <v>44</v>
      </c>
      <c r="B1065" s="3" t="s">
        <v>45</v>
      </c>
      <c r="C1065" s="61" t="s">
        <v>3277</v>
      </c>
      <c r="D1065" s="3" t="s">
        <v>1684</v>
      </c>
      <c r="E1065" s="3">
        <v>1</v>
      </c>
      <c r="F1065" s="3" t="s">
        <v>3266</v>
      </c>
      <c r="G1065" s="9">
        <v>528.91477899999995</v>
      </c>
      <c r="H1065" s="66">
        <v>15602.985980499998</v>
      </c>
      <c r="I1065" s="9">
        <v>713.90009997989296</v>
      </c>
      <c r="J1065" s="10">
        <v>1.3497450408355729</v>
      </c>
      <c r="K1065" s="66">
        <v>9770.0531748177509</v>
      </c>
      <c r="L1065" s="69">
        <v>25373.039155317747</v>
      </c>
      <c r="M1065" s="64">
        <v>221042.94</v>
      </c>
      <c r="N1065" s="67">
        <v>4430.6513740127693</v>
      </c>
      <c r="O1065" s="64">
        <f t="shared" si="32"/>
        <v>29803.690529330517</v>
      </c>
      <c r="P1065" s="64">
        <f t="shared" si="33"/>
        <v>56.348757328504369</v>
      </c>
    </row>
    <row r="1066" spans="1:16" ht="15">
      <c r="A1066" s="3" t="s">
        <v>112</v>
      </c>
      <c r="B1066" s="3" t="s">
        <v>113</v>
      </c>
      <c r="C1066" s="61" t="s">
        <v>3277</v>
      </c>
      <c r="D1066" s="3" t="s">
        <v>1684</v>
      </c>
      <c r="E1066" s="3">
        <v>1</v>
      </c>
      <c r="F1066" s="3" t="s">
        <v>3266</v>
      </c>
      <c r="G1066" s="9">
        <v>364.34658899999999</v>
      </c>
      <c r="H1066" s="66">
        <v>10748.2243755</v>
      </c>
      <c r="I1066" s="9">
        <v>470.58480141211402</v>
      </c>
      <c r="J1066" s="10">
        <v>1.2915855825731746</v>
      </c>
      <c r="K1066" s="66">
        <v>5611.0018836400413</v>
      </c>
      <c r="L1066" s="69">
        <v>16359.226259140041</v>
      </c>
      <c r="M1066" s="64">
        <v>169454.97</v>
      </c>
      <c r="N1066" s="67">
        <v>3396.606540176278</v>
      </c>
      <c r="O1066" s="64">
        <f t="shared" si="32"/>
        <v>19755.832799316318</v>
      </c>
      <c r="P1066" s="64">
        <f t="shared" si="33"/>
        <v>54.222636895102973</v>
      </c>
    </row>
    <row r="1067" spans="1:16" ht="15">
      <c r="A1067" s="3" t="s">
        <v>1718</v>
      </c>
      <c r="B1067" s="3" t="s">
        <v>1816</v>
      </c>
      <c r="C1067" s="61" t="s">
        <v>3277</v>
      </c>
      <c r="D1067" s="3" t="s">
        <v>1684</v>
      </c>
      <c r="E1067" s="3">
        <v>1</v>
      </c>
      <c r="F1067" s="3" t="s">
        <v>3266</v>
      </c>
      <c r="G1067" s="9">
        <v>200.287881</v>
      </c>
      <c r="H1067" s="66">
        <v>5908.4924895000004</v>
      </c>
      <c r="I1067" s="9">
        <v>269.89057852166098</v>
      </c>
      <c r="J1067" s="10">
        <v>1.347513275262326</v>
      </c>
      <c r="K1067" s="66">
        <v>3676.086579709201</v>
      </c>
      <c r="L1067" s="69">
        <v>9584.5790692092014</v>
      </c>
      <c r="M1067" s="64">
        <v>0</v>
      </c>
      <c r="N1067" s="67">
        <v>0</v>
      </c>
      <c r="O1067" s="64">
        <f t="shared" si="32"/>
        <v>9584.5790692092014</v>
      </c>
      <c r="P1067" s="64">
        <f t="shared" si="33"/>
        <v>47.854014038968245</v>
      </c>
    </row>
    <row r="1068" spans="1:16" ht="15">
      <c r="A1068" s="3" t="s">
        <v>276</v>
      </c>
      <c r="B1068" s="3" t="s">
        <v>277</v>
      </c>
      <c r="C1068" s="61" t="s">
        <v>3277</v>
      </c>
      <c r="D1068" s="3" t="s">
        <v>1684</v>
      </c>
      <c r="E1068" s="3">
        <v>1</v>
      </c>
      <c r="F1068" s="3" t="s">
        <v>3266</v>
      </c>
      <c r="G1068" s="9">
        <v>127.895346</v>
      </c>
      <c r="H1068" s="66">
        <v>3772.912707</v>
      </c>
      <c r="I1068" s="9">
        <v>170.23320341037399</v>
      </c>
      <c r="J1068" s="10">
        <v>1.3310351684757473</v>
      </c>
      <c r="K1068" s="66">
        <v>2236.0861716815175</v>
      </c>
      <c r="L1068" s="69">
        <v>6008.9988786815175</v>
      </c>
      <c r="M1068" s="64">
        <v>36187.019999999997</v>
      </c>
      <c r="N1068" s="67">
        <v>725.34354584872756</v>
      </c>
      <c r="O1068" s="64">
        <f t="shared" si="32"/>
        <v>6734.3424245302449</v>
      </c>
      <c r="P1068" s="64">
        <f t="shared" si="33"/>
        <v>52.655101496267463</v>
      </c>
    </row>
    <row r="1069" spans="1:16" ht="15">
      <c r="A1069" s="52" t="s">
        <v>3233</v>
      </c>
      <c r="B1069" s="52" t="s">
        <v>3234</v>
      </c>
      <c r="C1069" s="61" t="s">
        <v>3277</v>
      </c>
      <c r="D1069" s="3" t="s">
        <v>1684</v>
      </c>
      <c r="E1069" s="3">
        <v>1</v>
      </c>
      <c r="F1069" s="3" t="s">
        <v>3266</v>
      </c>
      <c r="G1069" s="9">
        <v>245.24999999999997</v>
      </c>
      <c r="H1069" s="66">
        <v>7234.8749999999991</v>
      </c>
      <c r="I1069" s="9">
        <v>302.17935799999998</v>
      </c>
      <c r="J1069" s="10">
        <v>1.2321278613659532</v>
      </c>
      <c r="K1069" s="66">
        <v>3006.7404912019638</v>
      </c>
      <c r="L1069" s="69">
        <v>10241.615491201963</v>
      </c>
      <c r="M1069" s="64">
        <v>0</v>
      </c>
      <c r="N1069" s="67">
        <v>0</v>
      </c>
      <c r="O1069" s="64">
        <f t="shared" si="32"/>
        <v>10241.615491201963</v>
      </c>
      <c r="P1069" s="64">
        <f t="shared" si="33"/>
        <v>41.759900066063054</v>
      </c>
    </row>
    <row r="1070" spans="1:16" ht="15">
      <c r="A1070" s="3" t="s">
        <v>185</v>
      </c>
      <c r="B1070" s="3" t="s">
        <v>1791</v>
      </c>
      <c r="C1070" s="61" t="s">
        <v>3277</v>
      </c>
      <c r="D1070" s="3" t="s">
        <v>1684</v>
      </c>
      <c r="E1070" s="3">
        <v>1</v>
      </c>
      <c r="F1070" s="3" t="s">
        <v>3266</v>
      </c>
      <c r="G1070" s="9">
        <v>340.37736100000001</v>
      </c>
      <c r="H1070" s="66">
        <v>10041.132149500001</v>
      </c>
      <c r="I1070" s="9">
        <v>421.27659409985898</v>
      </c>
      <c r="J1070" s="10">
        <v>1.2376751287517591</v>
      </c>
      <c r="K1070" s="66">
        <v>4272.7163701465261</v>
      </c>
      <c r="L1070" s="69">
        <v>14313.848519646526</v>
      </c>
      <c r="M1070" s="64">
        <v>0</v>
      </c>
      <c r="N1070" s="67">
        <v>0</v>
      </c>
      <c r="O1070" s="64">
        <f t="shared" si="32"/>
        <v>14313.848519646526</v>
      </c>
      <c r="P1070" s="64">
        <f t="shared" si="33"/>
        <v>42.05288059580004</v>
      </c>
    </row>
    <row r="1071" spans="1:16" ht="15">
      <c r="A1071" s="3" t="str">
        <f>"068031"</f>
        <v>068031</v>
      </c>
      <c r="B1071" s="3" t="s">
        <v>2773</v>
      </c>
      <c r="C1071" s="61" t="s">
        <v>3277</v>
      </c>
      <c r="D1071" s="3" t="s">
        <v>3249</v>
      </c>
      <c r="E1071" s="3">
        <v>1</v>
      </c>
      <c r="F1071" s="3" t="s">
        <v>3220</v>
      </c>
      <c r="G1071" s="9">
        <v>208</v>
      </c>
      <c r="H1071" s="66">
        <v>6136</v>
      </c>
      <c r="I1071" s="9">
        <v>219.5488</v>
      </c>
      <c r="J1071" s="10">
        <v>1.055523076923077</v>
      </c>
      <c r="K1071" s="66">
        <v>609.9532087608161</v>
      </c>
      <c r="L1071" s="69">
        <v>6745.9532087608159</v>
      </c>
      <c r="M1071" s="64">
        <v>0</v>
      </c>
      <c r="N1071" s="67">
        <v>0</v>
      </c>
      <c r="O1071" s="64">
        <f t="shared" si="32"/>
        <v>6745.9532087608159</v>
      </c>
      <c r="P1071" s="64">
        <f t="shared" si="33"/>
        <v>32.432467349811617</v>
      </c>
    </row>
    <row r="1072" spans="1:16" ht="15">
      <c r="A1072" s="3" t="s">
        <v>447</v>
      </c>
      <c r="B1072" s="3" t="s">
        <v>448</v>
      </c>
      <c r="C1072" s="61" t="s">
        <v>3277</v>
      </c>
      <c r="D1072" s="3" t="s">
        <v>1684</v>
      </c>
      <c r="E1072" s="3">
        <v>1</v>
      </c>
      <c r="F1072" s="3" t="s">
        <v>3266</v>
      </c>
      <c r="G1072" s="9">
        <v>133.30109999999999</v>
      </c>
      <c r="H1072" s="66">
        <v>3932.3824499999996</v>
      </c>
      <c r="I1072" s="9">
        <v>192.66248089018899</v>
      </c>
      <c r="J1072" s="10">
        <v>1.4453180123058924</v>
      </c>
      <c r="K1072" s="66">
        <v>3135.1884828245156</v>
      </c>
      <c r="L1072" s="69">
        <v>7067.5709328245157</v>
      </c>
      <c r="M1072" s="64">
        <v>0</v>
      </c>
      <c r="N1072" s="67">
        <v>0</v>
      </c>
      <c r="O1072" s="64">
        <f t="shared" si="32"/>
        <v>7067.5709328245157</v>
      </c>
      <c r="P1072" s="64">
        <f t="shared" si="33"/>
        <v>53.019599484359212</v>
      </c>
    </row>
    <row r="1073" spans="1:16" ht="15">
      <c r="A1073" s="3" t="s">
        <v>171</v>
      </c>
      <c r="B1073" s="3" t="s">
        <v>1789</v>
      </c>
      <c r="C1073" s="61" t="s">
        <v>3277</v>
      </c>
      <c r="D1073" s="3" t="s">
        <v>1684</v>
      </c>
      <c r="E1073" s="3">
        <v>1</v>
      </c>
      <c r="F1073" s="3" t="s">
        <v>3266</v>
      </c>
      <c r="G1073" s="9">
        <v>546.18786999999998</v>
      </c>
      <c r="H1073" s="66">
        <v>16112.542164999999</v>
      </c>
      <c r="I1073" s="9">
        <v>713.97451155824695</v>
      </c>
      <c r="J1073" s="10">
        <v>1.3071958400655199</v>
      </c>
      <c r="K1073" s="66">
        <v>8861.6999519996552</v>
      </c>
      <c r="L1073" s="69">
        <v>24974.242116999652</v>
      </c>
      <c r="M1073" s="64">
        <v>174369.41</v>
      </c>
      <c r="N1073" s="67">
        <v>3495.1130581338448</v>
      </c>
      <c r="O1073" s="64">
        <f t="shared" si="32"/>
        <v>28469.355175133496</v>
      </c>
      <c r="P1073" s="64">
        <f t="shared" si="33"/>
        <v>52.123741186587495</v>
      </c>
    </row>
    <row r="1074" spans="1:16" ht="15">
      <c r="A1074" s="3" t="s">
        <v>103</v>
      </c>
      <c r="B1074" s="3" t="s">
        <v>1774</v>
      </c>
      <c r="C1074" s="61" t="s">
        <v>3277</v>
      </c>
      <c r="D1074" s="3" t="s">
        <v>1684</v>
      </c>
      <c r="E1074" s="3">
        <v>1</v>
      </c>
      <c r="F1074" s="3" t="s">
        <v>3266</v>
      </c>
      <c r="G1074" s="9">
        <v>306.98421200000001</v>
      </c>
      <c r="H1074" s="66">
        <v>9056.0342540000001</v>
      </c>
      <c r="I1074" s="9">
        <v>416.06439438100102</v>
      </c>
      <c r="J1074" s="10">
        <v>1.3553283136951715</v>
      </c>
      <c r="K1074" s="66">
        <v>5761.1013486688316</v>
      </c>
      <c r="L1074" s="69">
        <v>14817.135602668832</v>
      </c>
      <c r="M1074" s="64">
        <v>0</v>
      </c>
      <c r="N1074" s="67">
        <v>0</v>
      </c>
      <c r="O1074" s="64">
        <f t="shared" si="32"/>
        <v>14817.135602668832</v>
      </c>
      <c r="P1074" s="64">
        <f t="shared" si="33"/>
        <v>48.266767551775047</v>
      </c>
    </row>
    <row r="1075" spans="1:16" ht="15">
      <c r="A1075" s="3" t="s">
        <v>703</v>
      </c>
      <c r="B1075" s="3" t="s">
        <v>704</v>
      </c>
      <c r="C1075" s="61" t="s">
        <v>3277</v>
      </c>
      <c r="D1075" s="3" t="s">
        <v>3248</v>
      </c>
      <c r="E1075" s="3">
        <v>1</v>
      </c>
      <c r="F1075" s="3" t="s">
        <v>1906</v>
      </c>
      <c r="G1075" s="9">
        <v>2174.8470299999999</v>
      </c>
      <c r="H1075" s="66">
        <v>64157.987385</v>
      </c>
      <c r="I1075" s="9">
        <v>2609.32230108147</v>
      </c>
      <c r="J1075" s="10">
        <v>1.1997727955521866</v>
      </c>
      <c r="K1075" s="66">
        <v>22946.936973830012</v>
      </c>
      <c r="L1075" s="69">
        <v>87104.924358830016</v>
      </c>
      <c r="M1075" s="64">
        <v>1025456.5206150666</v>
      </c>
      <c r="N1075" s="67">
        <v>20554.559860873633</v>
      </c>
      <c r="O1075" s="64">
        <f t="shared" si="32"/>
        <v>107659.48421970365</v>
      </c>
      <c r="P1075" s="64">
        <f t="shared" si="33"/>
        <v>49.502094967894664</v>
      </c>
    </row>
    <row r="1076" spans="1:16" ht="15">
      <c r="A1076" s="3" t="str">
        <f>"060806"</f>
        <v>060806</v>
      </c>
      <c r="B1076" s="3" t="s">
        <v>2788</v>
      </c>
      <c r="C1076" s="61" t="s">
        <v>3277</v>
      </c>
      <c r="D1076" s="3" t="s">
        <v>3249</v>
      </c>
      <c r="E1076" s="3">
        <v>1</v>
      </c>
      <c r="F1076" s="3" t="s">
        <v>3220</v>
      </c>
      <c r="G1076" s="9">
        <v>520</v>
      </c>
      <c r="H1076" s="66">
        <v>15340</v>
      </c>
      <c r="I1076" s="9">
        <v>530.32360000000006</v>
      </c>
      <c r="J1076" s="10">
        <v>1.0198530769230771</v>
      </c>
      <c r="K1076" s="66">
        <v>545.24391676738674</v>
      </c>
      <c r="L1076" s="69">
        <v>15885.243916767387</v>
      </c>
      <c r="M1076" s="64">
        <v>0</v>
      </c>
      <c r="N1076" s="67">
        <v>0</v>
      </c>
      <c r="O1076" s="64">
        <f t="shared" si="32"/>
        <v>15885.243916767387</v>
      </c>
      <c r="P1076" s="64">
        <f t="shared" si="33"/>
        <v>30.548545993783438</v>
      </c>
    </row>
    <row r="1077" spans="1:16" ht="15">
      <c r="A1077" s="3" t="str">
        <f>"009485"</f>
        <v>009485</v>
      </c>
      <c r="B1077" s="3" t="s">
        <v>3199</v>
      </c>
      <c r="C1077" s="61" t="s">
        <v>3277</v>
      </c>
      <c r="D1077" s="3" t="s">
        <v>3249</v>
      </c>
      <c r="E1077" s="3">
        <v>1</v>
      </c>
      <c r="F1077" s="3" t="s">
        <v>3220</v>
      </c>
      <c r="G1077" s="9">
        <v>169</v>
      </c>
      <c r="H1077" s="66">
        <v>4985.5</v>
      </c>
      <c r="I1077" s="9">
        <v>169</v>
      </c>
      <c r="J1077" s="10">
        <v>1</v>
      </c>
      <c r="K1077" s="66">
        <v>0</v>
      </c>
      <c r="L1077" s="69">
        <v>4985.5</v>
      </c>
      <c r="M1077" s="64">
        <v>0</v>
      </c>
      <c r="N1077" s="67">
        <v>0</v>
      </c>
      <c r="O1077" s="64">
        <f t="shared" si="32"/>
        <v>4985.5</v>
      </c>
      <c r="P1077" s="64">
        <f t="shared" si="33"/>
        <v>29.5</v>
      </c>
    </row>
    <row r="1078" spans="1:16" ht="15">
      <c r="A1078" s="3" t="str">
        <f>"053389"</f>
        <v>053389</v>
      </c>
      <c r="B1078" s="3" t="s">
        <v>2806</v>
      </c>
      <c r="C1078" s="61" t="s">
        <v>3277</v>
      </c>
      <c r="D1078" s="3" t="s">
        <v>3249</v>
      </c>
      <c r="E1078" s="3">
        <v>1</v>
      </c>
      <c r="F1078" s="3" t="s">
        <v>3220</v>
      </c>
      <c r="G1078" s="9">
        <v>593</v>
      </c>
      <c r="H1078" s="66">
        <v>17493.5</v>
      </c>
      <c r="I1078" s="9">
        <v>604.06100000000004</v>
      </c>
      <c r="J1078" s="10">
        <v>1.0186526138279932</v>
      </c>
      <c r="K1078" s="66">
        <v>584.18991082219873</v>
      </c>
      <c r="L1078" s="69">
        <v>18077.689910822199</v>
      </c>
      <c r="M1078" s="64">
        <v>0</v>
      </c>
      <c r="N1078" s="67">
        <v>0</v>
      </c>
      <c r="O1078" s="64">
        <f t="shared" si="32"/>
        <v>18077.689910822199</v>
      </c>
      <c r="P1078" s="64">
        <f t="shared" si="33"/>
        <v>30.485143188570319</v>
      </c>
    </row>
    <row r="1079" spans="1:16" ht="15">
      <c r="A1079" s="52">
        <v>17643</v>
      </c>
      <c r="B1079" s="61" t="s">
        <v>3239</v>
      </c>
      <c r="C1079" s="61" t="s">
        <v>3277</v>
      </c>
      <c r="D1079" s="3" t="s">
        <v>1684</v>
      </c>
      <c r="E1079" s="3">
        <v>1</v>
      </c>
      <c r="F1079" s="3" t="s">
        <v>3267</v>
      </c>
      <c r="G1079" s="9">
        <v>244.83000000000007</v>
      </c>
      <c r="H1079" s="66">
        <v>1444.4970000000005</v>
      </c>
      <c r="I1079" s="9">
        <v>303.73227700000001</v>
      </c>
      <c r="J1079" s="10">
        <v>1.2405843932524605</v>
      </c>
      <c r="K1079" s="66">
        <v>0</v>
      </c>
      <c r="L1079" s="69">
        <v>1444.4970000000005</v>
      </c>
      <c r="M1079" s="64">
        <v>0</v>
      </c>
      <c r="N1079" s="67">
        <v>0</v>
      </c>
      <c r="O1079" s="64">
        <f t="shared" si="32"/>
        <v>1444.4970000000005</v>
      </c>
      <c r="P1079" s="64">
        <f t="shared" si="33"/>
        <v>5.9</v>
      </c>
    </row>
    <row r="1080" spans="1:16" ht="15">
      <c r="A1080" s="3" t="s">
        <v>410</v>
      </c>
      <c r="B1080" s="61" t="s">
        <v>411</v>
      </c>
      <c r="C1080" s="61" t="s">
        <v>3277</v>
      </c>
      <c r="D1080" s="3" t="s">
        <v>1684</v>
      </c>
      <c r="E1080" s="3">
        <v>1</v>
      </c>
      <c r="F1080" s="3" t="s">
        <v>3267</v>
      </c>
      <c r="G1080" s="9">
        <v>12701.670185000001</v>
      </c>
      <c r="H1080" s="66">
        <v>74939.854091500005</v>
      </c>
      <c r="I1080" s="9">
        <v>16570.397078547001</v>
      </c>
      <c r="J1080" s="10">
        <v>1.3045841087982084</v>
      </c>
      <c r="K1080" s="66">
        <v>0</v>
      </c>
      <c r="L1080" s="69">
        <v>74939.854091500005</v>
      </c>
      <c r="M1080" s="64">
        <v>0</v>
      </c>
      <c r="N1080" s="67">
        <v>0</v>
      </c>
      <c r="O1080" s="64">
        <f t="shared" si="32"/>
        <v>74939.854091500005</v>
      </c>
      <c r="P1080" s="64">
        <f t="shared" si="33"/>
        <v>5.9</v>
      </c>
    </row>
    <row r="1081" spans="1:16" ht="15">
      <c r="A1081" s="3" t="s">
        <v>747</v>
      </c>
      <c r="B1081" s="3" t="s">
        <v>748</v>
      </c>
      <c r="C1081" s="61" t="s">
        <v>3277</v>
      </c>
      <c r="D1081" s="3" t="s">
        <v>3248</v>
      </c>
      <c r="E1081" s="3">
        <v>1</v>
      </c>
      <c r="F1081" s="3" t="s">
        <v>1905</v>
      </c>
      <c r="G1081" s="9">
        <v>3542.1214319999999</v>
      </c>
      <c r="H1081" s="66">
        <v>104492.58224399999</v>
      </c>
      <c r="I1081" s="9">
        <v>4369.1469370182804</v>
      </c>
      <c r="J1081" s="10">
        <v>1.2334831035285299</v>
      </c>
      <c r="K1081" s="66">
        <v>43679.590997587155</v>
      </c>
      <c r="L1081" s="69">
        <v>148172.17324158715</v>
      </c>
      <c r="M1081" s="64">
        <v>2126591.6675044056</v>
      </c>
      <c r="N1081" s="67">
        <v>42626.044937660074</v>
      </c>
      <c r="O1081" s="64">
        <f t="shared" si="32"/>
        <v>190798.21817924723</v>
      </c>
      <c r="P1081" s="64">
        <f t="shared" si="33"/>
        <v>53.865521507972751</v>
      </c>
    </row>
    <row r="1082" spans="1:16" ht="15">
      <c r="A1082" s="3" t="s">
        <v>1300</v>
      </c>
      <c r="B1082" s="3" t="s">
        <v>1301</v>
      </c>
      <c r="C1082" s="61" t="s">
        <v>3277</v>
      </c>
      <c r="D1082" s="3" t="s">
        <v>3248</v>
      </c>
      <c r="E1082" s="3">
        <v>1</v>
      </c>
      <c r="F1082" s="3" t="s">
        <v>1907</v>
      </c>
      <c r="G1082" s="9">
        <v>981.49122399999999</v>
      </c>
      <c r="H1082" s="66">
        <v>28953.991107999998</v>
      </c>
      <c r="I1082" s="9">
        <v>1107.34061651668</v>
      </c>
      <c r="J1082" s="10">
        <v>1.1282226365751795</v>
      </c>
      <c r="K1082" s="66">
        <v>6646.7720270632817</v>
      </c>
      <c r="L1082" s="69">
        <v>35600.76313506328</v>
      </c>
      <c r="M1082" s="64">
        <v>0</v>
      </c>
      <c r="N1082" s="67">
        <v>0</v>
      </c>
      <c r="O1082" s="64">
        <f t="shared" si="32"/>
        <v>35600.76313506328</v>
      </c>
      <c r="P1082" s="64">
        <f t="shared" si="33"/>
        <v>36.272115597707355</v>
      </c>
    </row>
    <row r="1083" spans="1:16" ht="15">
      <c r="A1083" s="3" t="str">
        <f>"058677"</f>
        <v>058677</v>
      </c>
      <c r="B1083" s="3" t="s">
        <v>2892</v>
      </c>
      <c r="C1083" s="61" t="s">
        <v>3277</v>
      </c>
      <c r="D1083" s="3" t="s">
        <v>3249</v>
      </c>
      <c r="E1083" s="3">
        <v>1</v>
      </c>
      <c r="F1083" s="3" t="s">
        <v>3220</v>
      </c>
      <c r="G1083" s="9">
        <v>235</v>
      </c>
      <c r="H1083" s="66">
        <v>6932.5</v>
      </c>
      <c r="I1083" s="9">
        <v>267.39679999999998</v>
      </c>
      <c r="J1083" s="10">
        <v>1.1378587234042552</v>
      </c>
      <c r="K1083" s="66">
        <v>1711.0463523121362</v>
      </c>
      <c r="L1083" s="69">
        <v>8643.5463523121362</v>
      </c>
      <c r="M1083" s="64">
        <v>0</v>
      </c>
      <c r="N1083" s="67">
        <v>0</v>
      </c>
      <c r="O1083" s="64">
        <f t="shared" si="32"/>
        <v>8643.5463523121362</v>
      </c>
      <c r="P1083" s="64">
        <f t="shared" si="33"/>
        <v>36.781048307711217</v>
      </c>
    </row>
    <row r="1084" spans="1:16" ht="15">
      <c r="A1084" s="3" t="str">
        <f>"058685"</f>
        <v>058685</v>
      </c>
      <c r="B1084" s="3" t="s">
        <v>2708</v>
      </c>
      <c r="C1084" s="61" t="s">
        <v>3277</v>
      </c>
      <c r="D1084" s="3" t="s">
        <v>3249</v>
      </c>
      <c r="E1084" s="3">
        <v>1</v>
      </c>
      <c r="F1084" s="3" t="s">
        <v>3220</v>
      </c>
      <c r="G1084" s="9">
        <v>180</v>
      </c>
      <c r="H1084" s="66">
        <v>5310</v>
      </c>
      <c r="I1084" s="9">
        <v>209.6472</v>
      </c>
      <c r="J1084" s="10">
        <v>1.1647066666666666</v>
      </c>
      <c r="K1084" s="66">
        <v>1565.8254338782961</v>
      </c>
      <c r="L1084" s="69">
        <v>6875.8254338782963</v>
      </c>
      <c r="M1084" s="64">
        <v>0</v>
      </c>
      <c r="N1084" s="67">
        <v>0</v>
      </c>
      <c r="O1084" s="64">
        <f t="shared" si="32"/>
        <v>6875.8254338782963</v>
      </c>
      <c r="P1084" s="64">
        <f t="shared" si="33"/>
        <v>38.19903018821276</v>
      </c>
    </row>
    <row r="1085" spans="1:16" ht="15">
      <c r="A1085" s="3" t="s">
        <v>294</v>
      </c>
      <c r="B1085" s="3" t="s">
        <v>295</v>
      </c>
      <c r="C1085" s="61" t="s">
        <v>3277</v>
      </c>
      <c r="D1085" s="3" t="s">
        <v>1684</v>
      </c>
      <c r="E1085" s="3">
        <v>1</v>
      </c>
      <c r="F1085" s="3" t="s">
        <v>3266</v>
      </c>
      <c r="G1085" s="9">
        <v>106.354412</v>
      </c>
      <c r="H1085" s="66">
        <v>3137.4551539999998</v>
      </c>
      <c r="I1085" s="9">
        <v>134.19699438702301</v>
      </c>
      <c r="J1085" s="10">
        <v>1.2617905723273899</v>
      </c>
      <c r="K1085" s="66">
        <v>1470.5140332460576</v>
      </c>
      <c r="L1085" s="69">
        <v>4607.9691872460571</v>
      </c>
      <c r="M1085" s="64">
        <v>0</v>
      </c>
      <c r="N1085" s="67">
        <v>0</v>
      </c>
      <c r="O1085" s="64">
        <f t="shared" si="32"/>
        <v>4607.9691872460571</v>
      </c>
      <c r="P1085" s="64">
        <f t="shared" si="33"/>
        <v>43.326544715851163</v>
      </c>
    </row>
    <row r="1086" spans="1:16" ht="15">
      <c r="A1086" s="3" t="s">
        <v>1302</v>
      </c>
      <c r="B1086" s="3" t="s">
        <v>1303</v>
      </c>
      <c r="C1086" s="61" t="s">
        <v>3277</v>
      </c>
      <c r="D1086" s="3" t="s">
        <v>3248</v>
      </c>
      <c r="E1086" s="3">
        <v>1</v>
      </c>
      <c r="F1086" s="3" t="s">
        <v>1906</v>
      </c>
      <c r="G1086" s="9">
        <v>3509.1034119999999</v>
      </c>
      <c r="H1086" s="66">
        <v>103518.55065399999</v>
      </c>
      <c r="I1086" s="9">
        <v>4356.8985539632004</v>
      </c>
      <c r="J1086" s="10">
        <v>1.2415987910370538</v>
      </c>
      <c r="K1086" s="66">
        <v>44776.545373743218</v>
      </c>
      <c r="L1086" s="69">
        <v>148295.09602774322</v>
      </c>
      <c r="M1086" s="64">
        <v>2488191.5054253992</v>
      </c>
      <c r="N1086" s="67">
        <v>49874.061177072406</v>
      </c>
      <c r="O1086" s="64">
        <f t="shared" si="32"/>
        <v>198169.15720481562</v>
      </c>
      <c r="P1086" s="64">
        <f t="shared" si="33"/>
        <v>56.472874674237623</v>
      </c>
    </row>
    <row r="1087" spans="1:16" ht="15">
      <c r="A1087" s="3" t="str">
        <f>"058602"</f>
        <v>058602</v>
      </c>
      <c r="B1087" s="3" t="s">
        <v>2830</v>
      </c>
      <c r="C1087" s="61" t="s">
        <v>3277</v>
      </c>
      <c r="D1087" s="3" t="s">
        <v>3249</v>
      </c>
      <c r="E1087" s="3">
        <v>1</v>
      </c>
      <c r="F1087" s="3" t="s">
        <v>3220</v>
      </c>
      <c r="G1087" s="9">
        <v>203</v>
      </c>
      <c r="H1087" s="66">
        <v>5988.5</v>
      </c>
      <c r="I1087" s="9">
        <v>222.9358</v>
      </c>
      <c r="J1087" s="10">
        <v>1.0982059113300493</v>
      </c>
      <c r="K1087" s="66">
        <v>1052.9150369920578</v>
      </c>
      <c r="L1087" s="69">
        <v>7041.415036992058</v>
      </c>
      <c r="M1087" s="64">
        <v>0</v>
      </c>
      <c r="N1087" s="67">
        <v>0</v>
      </c>
      <c r="O1087" s="64">
        <f t="shared" si="32"/>
        <v>7041.415036992058</v>
      </c>
      <c r="P1087" s="64">
        <f t="shared" si="33"/>
        <v>34.686773581241667</v>
      </c>
    </row>
    <row r="1088" spans="1:16" ht="15">
      <c r="A1088" s="3" t="str">
        <f>"053595"</f>
        <v>053595</v>
      </c>
      <c r="B1088" s="3" t="s">
        <v>2942</v>
      </c>
      <c r="C1088" s="61" t="s">
        <v>3277</v>
      </c>
      <c r="D1088" s="3" t="s">
        <v>3249</v>
      </c>
      <c r="E1088" s="3">
        <v>1</v>
      </c>
      <c r="F1088" s="3" t="s">
        <v>3220</v>
      </c>
      <c r="G1088" s="9">
        <v>647</v>
      </c>
      <c r="H1088" s="66">
        <v>19086.5</v>
      </c>
      <c r="I1088" s="9">
        <v>711.89120000000003</v>
      </c>
      <c r="J1088" s="10">
        <v>1.1002955177743432</v>
      </c>
      <c r="K1088" s="66">
        <v>3427.2474768235561</v>
      </c>
      <c r="L1088" s="69">
        <v>22513.747476823555</v>
      </c>
      <c r="M1088" s="64">
        <v>0</v>
      </c>
      <c r="N1088" s="67">
        <v>0</v>
      </c>
      <c r="O1088" s="64">
        <f t="shared" si="32"/>
        <v>22513.747476823555</v>
      </c>
      <c r="P1088" s="64">
        <f t="shared" si="33"/>
        <v>34.797136749340886</v>
      </c>
    </row>
    <row r="1089" spans="1:16" ht="15">
      <c r="A1089" s="3" t="str">
        <f>"053611"</f>
        <v>053611</v>
      </c>
      <c r="B1089" s="3" t="s">
        <v>2727</v>
      </c>
      <c r="C1089" s="61" t="s">
        <v>3277</v>
      </c>
      <c r="D1089" s="3" t="s">
        <v>3249</v>
      </c>
      <c r="E1089" s="3">
        <v>1</v>
      </c>
      <c r="F1089" s="3" t="s">
        <v>3220</v>
      </c>
      <c r="G1089" s="9">
        <v>320</v>
      </c>
      <c r="H1089" s="66">
        <v>9440</v>
      </c>
      <c r="I1089" s="9">
        <v>342.37239999999997</v>
      </c>
      <c r="J1089" s="10">
        <v>1.06991375</v>
      </c>
      <c r="K1089" s="66">
        <v>1181.6047699917276</v>
      </c>
      <c r="L1089" s="69">
        <v>10621.604769991727</v>
      </c>
      <c r="M1089" s="64">
        <v>0</v>
      </c>
      <c r="N1089" s="67">
        <v>0</v>
      </c>
      <c r="O1089" s="64">
        <f t="shared" si="32"/>
        <v>10621.604769991727</v>
      </c>
      <c r="P1089" s="64">
        <f t="shared" si="33"/>
        <v>33.192514906224147</v>
      </c>
    </row>
    <row r="1090" spans="1:16" ht="15">
      <c r="A1090" s="3" t="str">
        <f>"054015"</f>
        <v>054015</v>
      </c>
      <c r="B1090" s="3" t="s">
        <v>2916</v>
      </c>
      <c r="C1090" s="61" t="s">
        <v>3277</v>
      </c>
      <c r="D1090" s="3" t="s">
        <v>3249</v>
      </c>
      <c r="E1090" s="3">
        <v>1</v>
      </c>
      <c r="F1090" s="3" t="s">
        <v>3220</v>
      </c>
      <c r="G1090" s="9">
        <v>713</v>
      </c>
      <c r="H1090" s="66">
        <v>21033.5</v>
      </c>
      <c r="I1090" s="9">
        <v>753.2586</v>
      </c>
      <c r="J1090" s="10">
        <v>1.0564636746143057</v>
      </c>
      <c r="K1090" s="66">
        <v>2126.2695907988873</v>
      </c>
      <c r="L1090" s="69">
        <v>23159.769590798889</v>
      </c>
      <c r="M1090" s="64">
        <v>0</v>
      </c>
      <c r="N1090" s="67">
        <v>0</v>
      </c>
      <c r="O1090" s="64">
        <f t="shared" si="32"/>
        <v>23159.769590798889</v>
      </c>
      <c r="P1090" s="64">
        <f t="shared" si="33"/>
        <v>32.482145288637994</v>
      </c>
    </row>
    <row r="1091" spans="1:16" ht="15">
      <c r="A1091" s="3" t="str">
        <f>"059105"</f>
        <v>059105</v>
      </c>
      <c r="B1091" s="3" t="s">
        <v>2625</v>
      </c>
      <c r="C1091" s="61" t="s">
        <v>3277</v>
      </c>
      <c r="D1091" s="3" t="s">
        <v>3249</v>
      </c>
      <c r="E1091" s="3">
        <v>1</v>
      </c>
      <c r="F1091" s="3" t="s">
        <v>3220</v>
      </c>
      <c r="G1091" s="9">
        <v>373</v>
      </c>
      <c r="H1091" s="66">
        <v>11003.5</v>
      </c>
      <c r="I1091" s="9">
        <v>400.14640000000003</v>
      </c>
      <c r="J1091" s="10">
        <v>1.0727785522788205</v>
      </c>
      <c r="K1091" s="66">
        <v>1433.7449593295091</v>
      </c>
      <c r="L1091" s="69">
        <v>12437.24495932951</v>
      </c>
      <c r="M1091" s="64">
        <v>0</v>
      </c>
      <c r="N1091" s="67">
        <v>0</v>
      </c>
      <c r="O1091" s="64">
        <f t="shared" ref="O1091:O1154" si="34">(N1091+L1091)</f>
        <v>12437.24495932951</v>
      </c>
      <c r="P1091" s="64">
        <f t="shared" ref="P1091:P1154" si="35">O1091/G1091</f>
        <v>33.343820266298955</v>
      </c>
    </row>
    <row r="1092" spans="1:16" ht="15">
      <c r="A1092" s="3" t="str">
        <f>"059089"</f>
        <v>059089</v>
      </c>
      <c r="B1092" s="3" t="s">
        <v>2625</v>
      </c>
      <c r="C1092" s="61" t="s">
        <v>3277</v>
      </c>
      <c r="D1092" s="3" t="s">
        <v>3249</v>
      </c>
      <c r="E1092" s="3">
        <v>1</v>
      </c>
      <c r="F1092" s="3" t="s">
        <v>3220</v>
      </c>
      <c r="G1092" s="9">
        <v>248</v>
      </c>
      <c r="H1092" s="66">
        <v>7316</v>
      </c>
      <c r="I1092" s="9">
        <v>272.9846</v>
      </c>
      <c r="J1092" s="10">
        <v>1.1007443548387097</v>
      </c>
      <c r="K1092" s="66">
        <v>1319.568867726992</v>
      </c>
      <c r="L1092" s="69">
        <v>8635.5688677269918</v>
      </c>
      <c r="M1092" s="64">
        <v>0</v>
      </c>
      <c r="N1092" s="67">
        <v>0</v>
      </c>
      <c r="O1092" s="64">
        <f t="shared" si="34"/>
        <v>8635.5688677269918</v>
      </c>
      <c r="P1092" s="64">
        <f t="shared" si="35"/>
        <v>34.820842208576579</v>
      </c>
    </row>
    <row r="1093" spans="1:16" ht="15">
      <c r="A1093" s="3" t="str">
        <f>"059345"</f>
        <v>059345</v>
      </c>
      <c r="B1093" s="3" t="s">
        <v>2729</v>
      </c>
      <c r="C1093" s="61" t="s">
        <v>3277</v>
      </c>
      <c r="D1093" s="3" t="s">
        <v>3249</v>
      </c>
      <c r="E1093" s="3">
        <v>1</v>
      </c>
      <c r="F1093" s="3" t="s">
        <v>3220</v>
      </c>
      <c r="G1093" s="9">
        <v>294</v>
      </c>
      <c r="H1093" s="66">
        <v>8673</v>
      </c>
      <c r="I1093" s="9">
        <v>313.13659999999999</v>
      </c>
      <c r="J1093" s="10">
        <v>1.0650904761904763</v>
      </c>
      <c r="K1093" s="66">
        <v>1010.7050580815518</v>
      </c>
      <c r="L1093" s="69">
        <v>9683.7050580815521</v>
      </c>
      <c r="M1093" s="64">
        <v>0</v>
      </c>
      <c r="N1093" s="67">
        <v>0</v>
      </c>
      <c r="O1093" s="64">
        <f t="shared" si="34"/>
        <v>9683.7050580815521</v>
      </c>
      <c r="P1093" s="64">
        <f t="shared" si="35"/>
        <v>32.937772306399836</v>
      </c>
    </row>
    <row r="1094" spans="1:16" ht="15">
      <c r="A1094" s="3" t="str">
        <f>"059428"</f>
        <v>059428</v>
      </c>
      <c r="B1094" s="3" t="s">
        <v>2821</v>
      </c>
      <c r="C1094" s="61" t="s">
        <v>3277</v>
      </c>
      <c r="D1094" s="3" t="s">
        <v>3249</v>
      </c>
      <c r="E1094" s="3">
        <v>1</v>
      </c>
      <c r="F1094" s="3" t="s">
        <v>3220</v>
      </c>
      <c r="G1094" s="9">
        <v>158</v>
      </c>
      <c r="H1094" s="66">
        <v>4661</v>
      </c>
      <c r="I1094" s="9">
        <v>176.29840000000002</v>
      </c>
      <c r="J1094" s="10">
        <v>1.1158126582278483</v>
      </c>
      <c r="K1094" s="66">
        <v>966.4352829028926</v>
      </c>
      <c r="L1094" s="69">
        <v>5627.4352829028921</v>
      </c>
      <c r="M1094" s="64">
        <v>0</v>
      </c>
      <c r="N1094" s="67">
        <v>0</v>
      </c>
      <c r="O1094" s="64">
        <f t="shared" si="34"/>
        <v>5627.4352829028921</v>
      </c>
      <c r="P1094" s="64">
        <f t="shared" si="35"/>
        <v>35.616679005714509</v>
      </c>
    </row>
    <row r="1095" spans="1:16" ht="15">
      <c r="A1095" s="3" t="str">
        <f>"053843"</f>
        <v>053843</v>
      </c>
      <c r="B1095" s="3" t="s">
        <v>2720</v>
      </c>
      <c r="C1095" s="61" t="s">
        <v>3277</v>
      </c>
      <c r="D1095" s="3" t="s">
        <v>3249</v>
      </c>
      <c r="E1095" s="3">
        <v>1</v>
      </c>
      <c r="F1095" s="3" t="s">
        <v>3220</v>
      </c>
      <c r="G1095" s="9">
        <v>552</v>
      </c>
      <c r="H1095" s="66">
        <v>16284</v>
      </c>
      <c r="I1095" s="9">
        <v>557.89919999999995</v>
      </c>
      <c r="J1095" s="10">
        <v>1.0106869565217391</v>
      </c>
      <c r="K1095" s="66">
        <v>311.5679524385024</v>
      </c>
      <c r="L1095" s="69">
        <v>16595.567952438501</v>
      </c>
      <c r="M1095" s="64">
        <v>0</v>
      </c>
      <c r="N1095" s="67">
        <v>0</v>
      </c>
      <c r="O1095" s="64">
        <f t="shared" si="34"/>
        <v>16595.567952438501</v>
      </c>
      <c r="P1095" s="64">
        <f t="shared" si="35"/>
        <v>30.064434696446561</v>
      </c>
    </row>
    <row r="1096" spans="1:16" ht="15">
      <c r="A1096" s="3" t="s">
        <v>24</v>
      </c>
      <c r="B1096" s="3" t="s">
        <v>1701</v>
      </c>
      <c r="C1096" s="61" t="s">
        <v>3277</v>
      </c>
      <c r="D1096" s="3" t="s">
        <v>1684</v>
      </c>
      <c r="E1096" s="3">
        <v>1</v>
      </c>
      <c r="F1096" s="3" t="s">
        <v>3266</v>
      </c>
      <c r="G1096" s="9">
        <v>138.22951599999999</v>
      </c>
      <c r="H1096" s="66">
        <v>4077.7707219999998</v>
      </c>
      <c r="I1096" s="9">
        <v>382.70846747268098</v>
      </c>
      <c r="J1096" s="10">
        <v>2.7686450661715476</v>
      </c>
      <c r="K1096" s="66">
        <v>12912.226458614023</v>
      </c>
      <c r="L1096" s="69">
        <v>16989.997180614024</v>
      </c>
      <c r="M1096" s="64">
        <v>0</v>
      </c>
      <c r="N1096" s="67">
        <v>0</v>
      </c>
      <c r="O1096" s="64">
        <f t="shared" si="34"/>
        <v>16989.997180614024</v>
      </c>
      <c r="P1096" s="64">
        <f t="shared" si="35"/>
        <v>122.91150017926725</v>
      </c>
    </row>
    <row r="1097" spans="1:16" ht="15">
      <c r="A1097" s="3" t="s">
        <v>278</v>
      </c>
      <c r="B1097" s="3" t="s">
        <v>1806</v>
      </c>
      <c r="C1097" s="61" t="s">
        <v>3277</v>
      </c>
      <c r="D1097" s="3" t="s">
        <v>1684</v>
      </c>
      <c r="E1097" s="3">
        <v>1</v>
      </c>
      <c r="F1097" s="3" t="s">
        <v>3266</v>
      </c>
      <c r="G1097" s="9">
        <v>319.69044000000002</v>
      </c>
      <c r="H1097" s="66">
        <v>9430.8679800000009</v>
      </c>
      <c r="I1097" s="9">
        <v>412.52744716522699</v>
      </c>
      <c r="J1097" s="10">
        <v>1.2903965697730184</v>
      </c>
      <c r="K1097" s="66">
        <v>4903.2133565548856</v>
      </c>
      <c r="L1097" s="69">
        <v>14334.081336554886</v>
      </c>
      <c r="M1097" s="64">
        <v>183790.25</v>
      </c>
      <c r="N1097" s="67">
        <v>3683.9472171906978</v>
      </c>
      <c r="O1097" s="64">
        <f t="shared" si="34"/>
        <v>18018.028553745582</v>
      </c>
      <c r="P1097" s="64">
        <f t="shared" si="35"/>
        <v>56.360861318673088</v>
      </c>
    </row>
    <row r="1098" spans="1:16" ht="15">
      <c r="A1098" s="3" t="s">
        <v>799</v>
      </c>
      <c r="B1098" s="3" t="s">
        <v>1739</v>
      </c>
      <c r="C1098" s="61" t="s">
        <v>3277</v>
      </c>
      <c r="D1098" s="3" t="s">
        <v>3248</v>
      </c>
      <c r="E1098" s="3">
        <v>1</v>
      </c>
      <c r="F1098" s="3" t="s">
        <v>1906</v>
      </c>
      <c r="G1098" s="9">
        <v>7786.9579030000004</v>
      </c>
      <c r="H1098" s="66">
        <v>229715.25813850001</v>
      </c>
      <c r="I1098" s="9">
        <v>9323.0537877769402</v>
      </c>
      <c r="J1098" s="10">
        <v>1.19726520984339</v>
      </c>
      <c r="K1098" s="66">
        <v>81129.347974160017</v>
      </c>
      <c r="L1098" s="69">
        <v>310844.60611266003</v>
      </c>
      <c r="M1098" s="64">
        <v>3896955.0794426617</v>
      </c>
      <c r="N1098" s="67">
        <v>78111.743253137465</v>
      </c>
      <c r="O1098" s="64">
        <f t="shared" si="34"/>
        <v>388956.34936579748</v>
      </c>
      <c r="P1098" s="64">
        <f t="shared" si="35"/>
        <v>49.949717747407917</v>
      </c>
    </row>
    <row r="1099" spans="1:16" ht="15">
      <c r="A1099" s="3" t="s">
        <v>420</v>
      </c>
      <c r="B1099" s="3" t="s">
        <v>421</v>
      </c>
      <c r="C1099" s="61" t="s">
        <v>3277</v>
      </c>
      <c r="D1099" s="3" t="s">
        <v>1684</v>
      </c>
      <c r="E1099" s="3">
        <v>1</v>
      </c>
      <c r="F1099" s="3" t="s">
        <v>3266</v>
      </c>
      <c r="G1099" s="9">
        <v>53.587063999999998</v>
      </c>
      <c r="H1099" s="66">
        <v>1580.8183879999999</v>
      </c>
      <c r="I1099" s="9">
        <v>294.18275797320001</v>
      </c>
      <c r="J1099" s="10">
        <v>5.4898092191279604</v>
      </c>
      <c r="K1099" s="66">
        <v>12707.131091800766</v>
      </c>
      <c r="L1099" s="69">
        <v>14287.949479800765</v>
      </c>
      <c r="M1099" s="64">
        <v>0</v>
      </c>
      <c r="N1099" s="67">
        <v>0</v>
      </c>
      <c r="O1099" s="64">
        <f t="shared" si="34"/>
        <v>14287.949479800765</v>
      </c>
      <c r="P1099" s="64">
        <f t="shared" si="35"/>
        <v>266.63057113561524</v>
      </c>
    </row>
    <row r="1100" spans="1:16" ht="15">
      <c r="A1100" s="3" t="str">
        <f>"017447"</f>
        <v>017447</v>
      </c>
      <c r="B1100" s="3" t="s">
        <v>2981</v>
      </c>
      <c r="C1100" s="61" t="s">
        <v>3277</v>
      </c>
      <c r="D1100" s="3" t="s">
        <v>3249</v>
      </c>
      <c r="E1100" s="3">
        <v>1</v>
      </c>
      <c r="F1100" s="3" t="s">
        <v>3220</v>
      </c>
      <c r="G1100" s="9">
        <v>30</v>
      </c>
      <c r="H1100" s="66">
        <v>885</v>
      </c>
      <c r="I1100" s="9">
        <v>32.824800000000003</v>
      </c>
      <c r="J1100" s="10">
        <v>1.09416</v>
      </c>
      <c r="K1100" s="66">
        <v>149.19262816115574</v>
      </c>
      <c r="L1100" s="69">
        <v>1034.1926281611557</v>
      </c>
      <c r="M1100" s="64">
        <v>0</v>
      </c>
      <c r="N1100" s="67">
        <v>0</v>
      </c>
      <c r="O1100" s="64">
        <f t="shared" si="34"/>
        <v>1034.1926281611557</v>
      </c>
      <c r="P1100" s="64">
        <f t="shared" si="35"/>
        <v>34.473087605371852</v>
      </c>
    </row>
    <row r="1101" spans="1:16" ht="15">
      <c r="A1101" s="3" t="str">
        <f>"081851"</f>
        <v>081851</v>
      </c>
      <c r="B1101" s="3" t="s">
        <v>3112</v>
      </c>
      <c r="C1101" s="61" t="s">
        <v>3277</v>
      </c>
      <c r="D1101" s="3" t="s">
        <v>3249</v>
      </c>
      <c r="E1101" s="3">
        <v>1</v>
      </c>
      <c r="F1101" s="3" t="s">
        <v>3220</v>
      </c>
      <c r="G1101" s="9">
        <v>518</v>
      </c>
      <c r="H1101" s="66">
        <v>15281</v>
      </c>
      <c r="I1101" s="9">
        <v>518</v>
      </c>
      <c r="J1101" s="10">
        <v>1</v>
      </c>
      <c r="K1101" s="66">
        <v>0</v>
      </c>
      <c r="L1101" s="69">
        <v>15281</v>
      </c>
      <c r="M1101" s="64">
        <v>0</v>
      </c>
      <c r="N1101" s="67">
        <v>0</v>
      </c>
      <c r="O1101" s="64">
        <f t="shared" si="34"/>
        <v>15281</v>
      </c>
      <c r="P1101" s="64">
        <f t="shared" si="35"/>
        <v>29.5</v>
      </c>
    </row>
    <row r="1102" spans="1:16" ht="15">
      <c r="A1102" s="3" t="s">
        <v>804</v>
      </c>
      <c r="B1102" s="3" t="s">
        <v>805</v>
      </c>
      <c r="C1102" s="61" t="s">
        <v>3277</v>
      </c>
      <c r="D1102" s="3" t="s">
        <v>3248</v>
      </c>
      <c r="E1102" s="3">
        <v>1</v>
      </c>
      <c r="F1102" s="3" t="s">
        <v>1908</v>
      </c>
      <c r="G1102" s="9">
        <v>23160.264103000001</v>
      </c>
      <c r="H1102" s="66">
        <v>683227.79103850003</v>
      </c>
      <c r="I1102" s="9">
        <v>32865.0330960602</v>
      </c>
      <c r="J1102" s="10">
        <v>1.4190266980506114</v>
      </c>
      <c r="K1102" s="66">
        <v>512560.17833883542</v>
      </c>
      <c r="L1102" s="69">
        <v>1195787.9693773354</v>
      </c>
      <c r="M1102" s="64">
        <v>7977271.0370818079</v>
      </c>
      <c r="N1102" s="67">
        <v>159898.82726550227</v>
      </c>
      <c r="O1102" s="64">
        <f t="shared" si="34"/>
        <v>1355686.7966428376</v>
      </c>
      <c r="P1102" s="64">
        <f t="shared" si="35"/>
        <v>58.535031837881</v>
      </c>
    </row>
    <row r="1103" spans="1:16" ht="15">
      <c r="A1103" s="3" t="str">
        <f>"134429"</f>
        <v>134429</v>
      </c>
      <c r="B1103" s="3" t="s">
        <v>2998</v>
      </c>
      <c r="C1103" s="61" t="s">
        <v>3277</v>
      </c>
      <c r="D1103" s="3" t="s">
        <v>3249</v>
      </c>
      <c r="E1103" s="3">
        <v>1</v>
      </c>
      <c r="F1103" s="3" t="s">
        <v>3220</v>
      </c>
      <c r="G1103" s="9">
        <v>182</v>
      </c>
      <c r="H1103" s="66">
        <v>5369</v>
      </c>
      <c r="I1103" s="9">
        <v>199.97399999999999</v>
      </c>
      <c r="J1103" s="10">
        <v>1.0987582417582418</v>
      </c>
      <c r="K1103" s="66">
        <v>949.30200317495337</v>
      </c>
      <c r="L1103" s="69">
        <v>6318.3020031749529</v>
      </c>
      <c r="M1103" s="64">
        <v>0</v>
      </c>
      <c r="N1103" s="67">
        <v>0</v>
      </c>
      <c r="O1103" s="64">
        <f t="shared" si="34"/>
        <v>6318.3020031749529</v>
      </c>
      <c r="P1103" s="64">
        <f t="shared" si="35"/>
        <v>34.71594507238985</v>
      </c>
    </row>
    <row r="1104" spans="1:16" ht="15">
      <c r="A1104" s="3" t="str">
        <f>"054163"</f>
        <v>054163</v>
      </c>
      <c r="B1104" s="3" t="s">
        <v>2592</v>
      </c>
      <c r="C1104" s="61" t="s">
        <v>3277</v>
      </c>
      <c r="D1104" s="3" t="s">
        <v>3249</v>
      </c>
      <c r="E1104" s="3">
        <v>1</v>
      </c>
      <c r="F1104" s="3" t="s">
        <v>3220</v>
      </c>
      <c r="G1104" s="9">
        <v>46</v>
      </c>
      <c r="H1104" s="66">
        <v>1357</v>
      </c>
      <c r="I1104" s="9">
        <v>46</v>
      </c>
      <c r="J1104" s="10">
        <v>1</v>
      </c>
      <c r="K1104" s="66">
        <v>0</v>
      </c>
      <c r="L1104" s="69">
        <v>1357</v>
      </c>
      <c r="M1104" s="64">
        <v>0</v>
      </c>
      <c r="N1104" s="67">
        <v>0</v>
      </c>
      <c r="O1104" s="64">
        <f t="shared" si="34"/>
        <v>1357</v>
      </c>
      <c r="P1104" s="64">
        <f t="shared" si="35"/>
        <v>29.5</v>
      </c>
    </row>
    <row r="1105" spans="1:16" ht="15">
      <c r="A1105" s="3" t="s">
        <v>132</v>
      </c>
      <c r="B1105" s="3" t="s">
        <v>1779</v>
      </c>
      <c r="C1105" s="61" t="s">
        <v>3277</v>
      </c>
      <c r="D1105" s="3" t="s">
        <v>1684</v>
      </c>
      <c r="E1105" s="3">
        <v>1</v>
      </c>
      <c r="F1105" s="3" t="s">
        <v>3266</v>
      </c>
      <c r="G1105" s="9">
        <v>192.233126</v>
      </c>
      <c r="H1105" s="66">
        <v>5670.8772170000002</v>
      </c>
      <c r="I1105" s="9">
        <v>309.18163592397701</v>
      </c>
      <c r="J1105" s="10">
        <v>1.6083681431886876</v>
      </c>
      <c r="K1105" s="66">
        <v>6176.6693412238437</v>
      </c>
      <c r="L1105" s="69">
        <v>11847.546558223843</v>
      </c>
      <c r="M1105" s="64">
        <v>0</v>
      </c>
      <c r="N1105" s="67">
        <v>0</v>
      </c>
      <c r="O1105" s="64">
        <f t="shared" si="34"/>
        <v>11847.546558223843</v>
      </c>
      <c r="P1105" s="64">
        <f t="shared" si="35"/>
        <v>61.631139256528776</v>
      </c>
    </row>
    <row r="1106" spans="1:16" ht="15">
      <c r="A1106" s="3" t="s">
        <v>391</v>
      </c>
      <c r="B1106" s="3" t="s">
        <v>392</v>
      </c>
      <c r="C1106" s="61" t="s">
        <v>3277</v>
      </c>
      <c r="D1106" s="3" t="s">
        <v>1684</v>
      </c>
      <c r="E1106" s="3">
        <v>1</v>
      </c>
      <c r="F1106" s="3" t="s">
        <v>3266</v>
      </c>
      <c r="G1106" s="9">
        <v>689.92307300000004</v>
      </c>
      <c r="H1106" s="66">
        <v>20352.730653500003</v>
      </c>
      <c r="I1106" s="9">
        <v>747.63194569989196</v>
      </c>
      <c r="J1106" s="10">
        <v>1.0836453728804225</v>
      </c>
      <c r="K1106" s="66">
        <v>3047.910785299644</v>
      </c>
      <c r="L1106" s="69">
        <v>23400.641438799648</v>
      </c>
      <c r="M1106" s="64">
        <v>0</v>
      </c>
      <c r="N1106" s="67">
        <v>0</v>
      </c>
      <c r="O1106" s="64">
        <f t="shared" si="34"/>
        <v>23400.641438799648</v>
      </c>
      <c r="P1106" s="64">
        <f t="shared" si="35"/>
        <v>33.917754536091081</v>
      </c>
    </row>
    <row r="1107" spans="1:16" ht="15">
      <c r="A1107" s="3" t="str">
        <f>"060541"</f>
        <v>060541</v>
      </c>
      <c r="B1107" s="3" t="s">
        <v>2693</v>
      </c>
      <c r="C1107" s="61" t="s">
        <v>3277</v>
      </c>
      <c r="D1107" s="3" t="s">
        <v>3249</v>
      </c>
      <c r="E1107" s="3">
        <v>1</v>
      </c>
      <c r="F1107" s="3" t="s">
        <v>3220</v>
      </c>
      <c r="G1107" s="9">
        <v>168</v>
      </c>
      <c r="H1107" s="66">
        <v>4956</v>
      </c>
      <c r="I1107" s="9">
        <v>179.06100000000001</v>
      </c>
      <c r="J1107" s="10">
        <v>1.0658392857142858</v>
      </c>
      <c r="K1107" s="66">
        <v>584.18991082219725</v>
      </c>
      <c r="L1107" s="69">
        <v>5540.1899108221969</v>
      </c>
      <c r="M1107" s="64">
        <v>0</v>
      </c>
      <c r="N1107" s="67">
        <v>0</v>
      </c>
      <c r="O1107" s="64">
        <f t="shared" si="34"/>
        <v>5540.1899108221969</v>
      </c>
      <c r="P1107" s="64">
        <f t="shared" si="35"/>
        <v>32.97732089775117</v>
      </c>
    </row>
    <row r="1108" spans="1:16" ht="15">
      <c r="A1108" s="3" t="s">
        <v>1304</v>
      </c>
      <c r="B1108" s="3" t="s">
        <v>1876</v>
      </c>
      <c r="C1108" s="61" t="s">
        <v>3277</v>
      </c>
      <c r="D1108" s="3" t="s">
        <v>3248</v>
      </c>
      <c r="E1108" s="3">
        <v>1</v>
      </c>
      <c r="F1108" s="3" t="s">
        <v>1909</v>
      </c>
      <c r="G1108" s="9">
        <v>6979.1772449999999</v>
      </c>
      <c r="H1108" s="66">
        <v>205885.72872749998</v>
      </c>
      <c r="I1108" s="9">
        <v>8814.9842431173201</v>
      </c>
      <c r="J1108" s="10">
        <v>1.2630406040242814</v>
      </c>
      <c r="K1108" s="66">
        <v>96958.677019882656</v>
      </c>
      <c r="L1108" s="69">
        <v>302844.40574738267</v>
      </c>
      <c r="M1108" s="64">
        <v>2314736.3539535748</v>
      </c>
      <c r="N1108" s="67">
        <v>46397.273792692562</v>
      </c>
      <c r="O1108" s="64">
        <f t="shared" si="34"/>
        <v>349241.67954007525</v>
      </c>
      <c r="P1108" s="64">
        <f t="shared" si="35"/>
        <v>50.040523012978049</v>
      </c>
    </row>
    <row r="1109" spans="1:16" ht="15">
      <c r="A1109" s="3" t="str">
        <f>"086520"</f>
        <v>086520</v>
      </c>
      <c r="B1109" s="3" t="s">
        <v>2577</v>
      </c>
      <c r="C1109" s="61" t="s">
        <v>3277</v>
      </c>
      <c r="D1109" s="3" t="s">
        <v>3249</v>
      </c>
      <c r="E1109" s="3">
        <v>1</v>
      </c>
      <c r="F1109" s="3" t="s">
        <v>3220</v>
      </c>
      <c r="G1109" s="9">
        <v>162</v>
      </c>
      <c r="H1109" s="66">
        <v>4779</v>
      </c>
      <c r="I1109" s="9">
        <v>162</v>
      </c>
      <c r="J1109" s="10">
        <v>1</v>
      </c>
      <c r="K1109" s="66">
        <v>0</v>
      </c>
      <c r="L1109" s="69">
        <v>4779</v>
      </c>
      <c r="M1109" s="64">
        <v>0</v>
      </c>
      <c r="N1109" s="67">
        <v>0</v>
      </c>
      <c r="O1109" s="64">
        <f t="shared" si="34"/>
        <v>4779</v>
      </c>
      <c r="P1109" s="64">
        <f t="shared" si="35"/>
        <v>29.5</v>
      </c>
    </row>
    <row r="1110" spans="1:16" ht="15">
      <c r="A1110" s="3" t="s">
        <v>6</v>
      </c>
      <c r="B1110" s="3" t="s">
        <v>7</v>
      </c>
      <c r="C1110" s="61" t="s">
        <v>3277</v>
      </c>
      <c r="D1110" s="3" t="s">
        <v>1684</v>
      </c>
      <c r="E1110" s="3">
        <v>1</v>
      </c>
      <c r="F1110" s="3" t="s">
        <v>3266</v>
      </c>
      <c r="G1110" s="9">
        <v>363.456998</v>
      </c>
      <c r="H1110" s="66">
        <v>10721.981441</v>
      </c>
      <c r="I1110" s="9">
        <v>508.87450825496398</v>
      </c>
      <c r="J1110" s="10">
        <v>1.4000955025082884</v>
      </c>
      <c r="K1110" s="66">
        <v>7680.2678191694513</v>
      </c>
      <c r="L1110" s="69">
        <v>18402.24926016945</v>
      </c>
      <c r="M1110" s="64">
        <v>0</v>
      </c>
      <c r="N1110" s="67">
        <v>0</v>
      </c>
      <c r="O1110" s="64">
        <f t="shared" si="34"/>
        <v>18402.24926016945</v>
      </c>
      <c r="P1110" s="64">
        <f t="shared" si="35"/>
        <v>50.631159563392011</v>
      </c>
    </row>
    <row r="1111" spans="1:16" ht="15">
      <c r="A1111" s="3" t="s">
        <v>59</v>
      </c>
      <c r="B1111" s="3" t="s">
        <v>60</v>
      </c>
      <c r="C1111" s="61" t="s">
        <v>3277</v>
      </c>
      <c r="D1111" s="3" t="s">
        <v>1684</v>
      </c>
      <c r="E1111" s="3">
        <v>1</v>
      </c>
      <c r="F1111" s="3" t="s">
        <v>3266</v>
      </c>
      <c r="G1111" s="9">
        <v>544.98231699999997</v>
      </c>
      <c r="H1111" s="66">
        <v>16076.978351499998</v>
      </c>
      <c r="I1111" s="9">
        <v>749.766034585738</v>
      </c>
      <c r="J1111" s="10">
        <v>1.3757621324541767</v>
      </c>
      <c r="K1111" s="66">
        <v>10815.711211847954</v>
      </c>
      <c r="L1111" s="69">
        <v>26892.689563347951</v>
      </c>
      <c r="M1111" s="64">
        <v>131206.26999999999</v>
      </c>
      <c r="N1111" s="67">
        <v>2629.9380584360229</v>
      </c>
      <c r="O1111" s="64">
        <f t="shared" si="34"/>
        <v>29522.627621783973</v>
      </c>
      <c r="P1111" s="64">
        <f t="shared" si="35"/>
        <v>54.171716587611733</v>
      </c>
    </row>
    <row r="1112" spans="1:16" ht="15">
      <c r="A1112" s="3" t="str">
        <f>"069906"</f>
        <v>069906</v>
      </c>
      <c r="B1112" s="3" t="s">
        <v>3120</v>
      </c>
      <c r="C1112" s="61" t="s">
        <v>3277</v>
      </c>
      <c r="D1112" s="3" t="s">
        <v>3249</v>
      </c>
      <c r="E1112" s="3">
        <v>1</v>
      </c>
      <c r="F1112" s="3" t="s">
        <v>3220</v>
      </c>
      <c r="G1112" s="9">
        <v>27</v>
      </c>
      <c r="H1112" s="66">
        <v>796.5</v>
      </c>
      <c r="I1112" s="9">
        <v>27</v>
      </c>
      <c r="J1112" s="10">
        <v>1</v>
      </c>
      <c r="K1112" s="66">
        <v>0</v>
      </c>
      <c r="L1112" s="69">
        <v>796.5</v>
      </c>
      <c r="M1112" s="64">
        <v>0</v>
      </c>
      <c r="N1112" s="67">
        <v>0</v>
      </c>
      <c r="O1112" s="64">
        <f t="shared" si="34"/>
        <v>796.5</v>
      </c>
      <c r="P1112" s="64">
        <f t="shared" si="35"/>
        <v>29.5</v>
      </c>
    </row>
    <row r="1113" spans="1:16" ht="15">
      <c r="A1113" s="3" t="s">
        <v>1305</v>
      </c>
      <c r="B1113" s="3" t="s">
        <v>1306</v>
      </c>
      <c r="C1113" s="61" t="s">
        <v>3333</v>
      </c>
      <c r="D1113" s="3" t="s">
        <v>3248</v>
      </c>
      <c r="E1113" s="3">
        <v>1</v>
      </c>
      <c r="F1113" s="3" t="s">
        <v>1904</v>
      </c>
      <c r="G1113" s="9">
        <v>1141.752929</v>
      </c>
      <c r="H1113" s="66">
        <v>33681.711405499998</v>
      </c>
      <c r="I1113" s="9">
        <v>1418.68684921866</v>
      </c>
      <c r="J1113" s="10">
        <v>1.2425515303571075</v>
      </c>
      <c r="K1113" s="66">
        <v>14626.345010051562</v>
      </c>
      <c r="L1113" s="69">
        <v>48308.05641555156</v>
      </c>
      <c r="M1113" s="64">
        <v>559958.91611674521</v>
      </c>
      <c r="N1113" s="67">
        <v>11223.985444110353</v>
      </c>
      <c r="O1113" s="64">
        <f t="shared" si="34"/>
        <v>59532.041859661913</v>
      </c>
      <c r="P1113" s="64">
        <f t="shared" si="35"/>
        <v>52.140914507487032</v>
      </c>
    </row>
    <row r="1114" spans="1:16" ht="15">
      <c r="A1114" s="3" t="s">
        <v>1307</v>
      </c>
      <c r="B1114" s="3" t="s">
        <v>1308</v>
      </c>
      <c r="C1114" s="61" t="s">
        <v>3333</v>
      </c>
      <c r="D1114" s="3" t="s">
        <v>3248</v>
      </c>
      <c r="E1114" s="3">
        <v>1</v>
      </c>
      <c r="F1114" s="3" t="s">
        <v>1904</v>
      </c>
      <c r="G1114" s="9">
        <v>2155.317067</v>
      </c>
      <c r="H1114" s="66">
        <v>63581.8534765</v>
      </c>
      <c r="I1114" s="9">
        <v>2447.50673794964</v>
      </c>
      <c r="J1114" s="10">
        <v>1.1355669081933921</v>
      </c>
      <c r="K1114" s="66">
        <v>15432.08189270746</v>
      </c>
      <c r="L1114" s="69">
        <v>79013.935369207466</v>
      </c>
      <c r="M1114" s="64">
        <v>1840842.0177128783</v>
      </c>
      <c r="N1114" s="67">
        <v>36898.39275174318</v>
      </c>
      <c r="O1114" s="64">
        <f t="shared" si="34"/>
        <v>115912.32812095064</v>
      </c>
      <c r="P1114" s="64">
        <f t="shared" si="35"/>
        <v>53.779710602992523</v>
      </c>
    </row>
    <row r="1115" spans="1:16" ht="15">
      <c r="A1115" s="3" t="s">
        <v>681</v>
      </c>
      <c r="B1115" s="3" t="s">
        <v>682</v>
      </c>
      <c r="C1115" s="61" t="s">
        <v>3333</v>
      </c>
      <c r="D1115" s="3" t="s">
        <v>3248</v>
      </c>
      <c r="E1115" s="3">
        <v>1</v>
      </c>
      <c r="F1115" s="3" t="s">
        <v>1905</v>
      </c>
      <c r="G1115" s="9">
        <v>2096.4318859999998</v>
      </c>
      <c r="H1115" s="66">
        <v>61844.740636999995</v>
      </c>
      <c r="I1115" s="9">
        <v>2497.98527750929</v>
      </c>
      <c r="J1115" s="10">
        <v>1.1915413489896185</v>
      </c>
      <c r="K1115" s="66">
        <v>21208.158392203499</v>
      </c>
      <c r="L1115" s="69">
        <v>83052.899029203487</v>
      </c>
      <c r="M1115" s="64">
        <v>1204817.4467480322</v>
      </c>
      <c r="N1115" s="67">
        <v>24149.724374226676</v>
      </c>
      <c r="O1115" s="64">
        <f t="shared" si="34"/>
        <v>107202.62340343016</v>
      </c>
      <c r="P1115" s="64">
        <f t="shared" si="35"/>
        <v>51.135753142914261</v>
      </c>
    </row>
    <row r="1116" spans="1:16" ht="15">
      <c r="A1116" s="3" t="s">
        <v>1309</v>
      </c>
      <c r="B1116" s="3" t="s">
        <v>1310</v>
      </c>
      <c r="C1116" s="61" t="s">
        <v>3333</v>
      </c>
      <c r="D1116" s="3" t="s">
        <v>3248</v>
      </c>
      <c r="E1116" s="3">
        <v>1</v>
      </c>
      <c r="F1116" s="3" t="s">
        <v>3224</v>
      </c>
      <c r="G1116" s="9">
        <v>1172.0985049999999</v>
      </c>
      <c r="H1116" s="66">
        <v>34576.905897500001</v>
      </c>
      <c r="I1116" s="9">
        <v>1410.78108112532</v>
      </c>
      <c r="J1116" s="10">
        <v>1.2036369597837855</v>
      </c>
      <c r="K1116" s="66">
        <v>12606.089219913476</v>
      </c>
      <c r="L1116" s="69">
        <v>47182.995117413477</v>
      </c>
      <c r="M1116" s="64">
        <v>1066842.9754796987</v>
      </c>
      <c r="N1116" s="67">
        <v>21384.122447724403</v>
      </c>
      <c r="O1116" s="64">
        <f t="shared" si="34"/>
        <v>68567.117565137887</v>
      </c>
      <c r="P1116" s="64">
        <f t="shared" si="35"/>
        <v>58.499449724268601</v>
      </c>
    </row>
    <row r="1117" spans="1:16" ht="15">
      <c r="A1117" s="3" t="str">
        <f>"058107"</f>
        <v>058107</v>
      </c>
      <c r="B1117" s="3" t="s">
        <v>2702</v>
      </c>
      <c r="C1117" s="61" t="s">
        <v>3333</v>
      </c>
      <c r="D1117" s="3" t="s">
        <v>3249</v>
      </c>
      <c r="E1117" s="3">
        <v>1</v>
      </c>
      <c r="F1117" s="3" t="s">
        <v>3220</v>
      </c>
      <c r="G1117" s="9">
        <v>130</v>
      </c>
      <c r="H1117" s="66">
        <v>3835</v>
      </c>
      <c r="I1117" s="9">
        <v>138.3552</v>
      </c>
      <c r="J1117" s="10">
        <v>1.0642707692307691</v>
      </c>
      <c r="K1117" s="66">
        <v>441.28230204336108</v>
      </c>
      <c r="L1117" s="69">
        <v>4276.2823020433607</v>
      </c>
      <c r="M1117" s="64">
        <v>0</v>
      </c>
      <c r="N1117" s="67">
        <v>0</v>
      </c>
      <c r="O1117" s="64">
        <f t="shared" si="34"/>
        <v>4276.2823020433607</v>
      </c>
      <c r="P1117" s="64">
        <f t="shared" si="35"/>
        <v>32.894479246487393</v>
      </c>
    </row>
    <row r="1118" spans="1:16" ht="15">
      <c r="A1118" s="3" t="s">
        <v>537</v>
      </c>
      <c r="B1118" s="3" t="s">
        <v>538</v>
      </c>
      <c r="C1118" s="61" t="s">
        <v>3333</v>
      </c>
      <c r="D1118" s="3" t="s">
        <v>456</v>
      </c>
      <c r="E1118" s="3">
        <v>1</v>
      </c>
      <c r="F1118" s="3" t="s">
        <v>1897</v>
      </c>
      <c r="G1118" s="9">
        <v>746.80569300000002</v>
      </c>
      <c r="H1118" s="66">
        <v>22030.767943499999</v>
      </c>
      <c r="I1118" s="9">
        <v>964.90945885005794</v>
      </c>
      <c r="J1118" s="10">
        <v>1.2920488795069456</v>
      </c>
      <c r="K1118" s="66">
        <v>11519.21340945038</v>
      </c>
      <c r="L1118" s="69">
        <v>33549.981352950381</v>
      </c>
      <c r="M1118" s="64">
        <v>0</v>
      </c>
      <c r="N1118" s="67">
        <v>0</v>
      </c>
      <c r="O1118" s="64">
        <f t="shared" si="34"/>
        <v>33549.981352950381</v>
      </c>
      <c r="P1118" s="64">
        <f t="shared" si="35"/>
        <v>44.924645951983095</v>
      </c>
    </row>
    <row r="1119" spans="1:16" ht="15">
      <c r="A1119" s="3" t="s">
        <v>282</v>
      </c>
      <c r="B1119" s="3" t="s">
        <v>1809</v>
      </c>
      <c r="C1119" s="61" t="s">
        <v>3294</v>
      </c>
      <c r="D1119" s="3" t="s">
        <v>1684</v>
      </c>
      <c r="E1119" s="3">
        <v>1</v>
      </c>
      <c r="F1119" s="3" t="s">
        <v>3266</v>
      </c>
      <c r="G1119" s="9">
        <v>195.59901300000001</v>
      </c>
      <c r="H1119" s="66">
        <v>5770.1708835000009</v>
      </c>
      <c r="I1119" s="9">
        <v>272.04047626518701</v>
      </c>
      <c r="J1119" s="10">
        <v>1.3908069989350458</v>
      </c>
      <c r="K1119" s="66">
        <v>4037.2779683579988</v>
      </c>
      <c r="L1119" s="69">
        <v>9807.4488518580001</v>
      </c>
      <c r="M1119" s="64">
        <v>0</v>
      </c>
      <c r="N1119" s="67">
        <v>0</v>
      </c>
      <c r="O1119" s="64">
        <f t="shared" si="34"/>
        <v>9807.4488518580001</v>
      </c>
      <c r="P1119" s="64">
        <f t="shared" si="35"/>
        <v>50.140584563471187</v>
      </c>
    </row>
    <row r="1120" spans="1:16" ht="15">
      <c r="A1120" s="3" t="str">
        <f>"015696"</f>
        <v>015696</v>
      </c>
      <c r="B1120" s="3" t="s">
        <v>2928</v>
      </c>
      <c r="C1120" s="61" t="s">
        <v>3294</v>
      </c>
      <c r="D1120" s="3" t="s">
        <v>3249</v>
      </c>
      <c r="E1120" s="3">
        <v>1</v>
      </c>
      <c r="F1120" s="3" t="s">
        <v>3220</v>
      </c>
      <c r="G1120" s="9">
        <v>63</v>
      </c>
      <c r="H1120" s="66">
        <v>1858.5</v>
      </c>
      <c r="I1120" s="9">
        <v>111.744</v>
      </c>
      <c r="J1120" s="10">
        <v>1.7737142857142858</v>
      </c>
      <c r="K1120" s="66">
        <v>2574.428443460552</v>
      </c>
      <c r="L1120" s="69">
        <v>4432.9284434605524</v>
      </c>
      <c r="M1120" s="64">
        <v>0</v>
      </c>
      <c r="N1120" s="67">
        <v>0</v>
      </c>
      <c r="O1120" s="64">
        <f t="shared" si="34"/>
        <v>4432.9284434605524</v>
      </c>
      <c r="P1120" s="64">
        <f t="shared" si="35"/>
        <v>70.3639435469929</v>
      </c>
    </row>
    <row r="1121" spans="1:16" ht="15">
      <c r="A1121" s="3" t="str">
        <f>"095711"</f>
        <v>095711</v>
      </c>
      <c r="B1121" s="3" t="s">
        <v>2849</v>
      </c>
      <c r="C1121" s="61" t="s">
        <v>3294</v>
      </c>
      <c r="D1121" s="3" t="s">
        <v>3249</v>
      </c>
      <c r="E1121" s="3">
        <v>1</v>
      </c>
      <c r="F1121" s="3" t="s">
        <v>3220</v>
      </c>
      <c r="G1121" s="9">
        <v>154</v>
      </c>
      <c r="H1121" s="66">
        <v>4543</v>
      </c>
      <c r="I1121" s="9">
        <v>174.34799999999998</v>
      </c>
      <c r="J1121" s="10">
        <v>1.1321298701298701</v>
      </c>
      <c r="K1121" s="66">
        <v>1074.6854990877905</v>
      </c>
      <c r="L1121" s="69">
        <v>5617.685499087791</v>
      </c>
      <c r="M1121" s="64">
        <v>0</v>
      </c>
      <c r="N1121" s="67">
        <v>0</v>
      </c>
      <c r="O1121" s="64">
        <f t="shared" si="34"/>
        <v>5617.685499087791</v>
      </c>
      <c r="P1121" s="64">
        <f t="shared" si="35"/>
        <v>36.478477266803836</v>
      </c>
    </row>
    <row r="1122" spans="1:16" ht="15">
      <c r="A1122" s="3" t="s">
        <v>1311</v>
      </c>
      <c r="B1122" s="3" t="s">
        <v>1741</v>
      </c>
      <c r="C1122" s="61" t="s">
        <v>3294</v>
      </c>
      <c r="D1122" s="3" t="s">
        <v>3248</v>
      </c>
      <c r="E1122" s="3">
        <v>1</v>
      </c>
      <c r="F1122" s="3" t="s">
        <v>1909</v>
      </c>
      <c r="G1122" s="9">
        <v>4437.3824839999997</v>
      </c>
      <c r="H1122" s="66">
        <v>130902.78327799999</v>
      </c>
      <c r="I1122" s="9">
        <v>5478.2653996973904</v>
      </c>
      <c r="J1122" s="10">
        <v>1.2345713761323331</v>
      </c>
      <c r="K1122" s="66">
        <v>54974.531931797021</v>
      </c>
      <c r="L1122" s="69">
        <v>185877.315209797</v>
      </c>
      <c r="M1122" s="64">
        <v>2484887.1395010795</v>
      </c>
      <c r="N1122" s="67">
        <v>49807.827469617972</v>
      </c>
      <c r="O1122" s="64">
        <f t="shared" si="34"/>
        <v>235685.14267941497</v>
      </c>
      <c r="P1122" s="64">
        <f t="shared" si="35"/>
        <v>53.113551407666975</v>
      </c>
    </row>
    <row r="1123" spans="1:16" ht="15">
      <c r="A1123" s="3" t="s">
        <v>1312</v>
      </c>
      <c r="B1123" s="3" t="s">
        <v>1313</v>
      </c>
      <c r="C1123" s="61" t="s">
        <v>3294</v>
      </c>
      <c r="D1123" s="3" t="s">
        <v>3248</v>
      </c>
      <c r="E1123" s="3">
        <v>1</v>
      </c>
      <c r="F1123" s="3" t="s">
        <v>1906</v>
      </c>
      <c r="G1123" s="9">
        <v>4044.2547639999998</v>
      </c>
      <c r="H1123" s="66">
        <v>119305.51553799999</v>
      </c>
      <c r="I1123" s="9">
        <v>4911.7618764143199</v>
      </c>
      <c r="J1123" s="10">
        <v>1.2145035768113446</v>
      </c>
      <c r="K1123" s="66">
        <v>45817.638788440752</v>
      </c>
      <c r="L1123" s="69">
        <v>165123.15432644074</v>
      </c>
      <c r="M1123" s="64">
        <v>3058814.4539724537</v>
      </c>
      <c r="N1123" s="67">
        <v>61311.79970436138</v>
      </c>
      <c r="O1123" s="64">
        <f t="shared" si="34"/>
        <v>226434.95403080212</v>
      </c>
      <c r="P1123" s="64">
        <f t="shared" si="35"/>
        <v>55.989290300506433</v>
      </c>
    </row>
    <row r="1124" spans="1:16" ht="15">
      <c r="A1124" s="3" t="s">
        <v>587</v>
      </c>
      <c r="B1124" s="3" t="s">
        <v>588</v>
      </c>
      <c r="C1124" s="61" t="s">
        <v>3294</v>
      </c>
      <c r="D1124" s="3" t="s">
        <v>3248</v>
      </c>
      <c r="E1124" s="3">
        <v>1</v>
      </c>
      <c r="F1124" s="3" t="s">
        <v>1909</v>
      </c>
      <c r="G1124" s="9">
        <v>1061.8156509999999</v>
      </c>
      <c r="H1124" s="66">
        <v>31323.561704499996</v>
      </c>
      <c r="I1124" s="9">
        <v>1444.2164229676901</v>
      </c>
      <c r="J1124" s="10">
        <v>1.3601385717073879</v>
      </c>
      <c r="K1124" s="66">
        <v>20196.607257403866</v>
      </c>
      <c r="L1124" s="69">
        <v>51520.168961903866</v>
      </c>
      <c r="M1124" s="64">
        <v>604699.91376441612</v>
      </c>
      <c r="N1124" s="67">
        <v>12120.787498509173</v>
      </c>
      <c r="O1124" s="64">
        <f t="shared" si="34"/>
        <v>63640.956460413043</v>
      </c>
      <c r="P1124" s="64">
        <f t="shared" si="35"/>
        <v>59.935975138883173</v>
      </c>
    </row>
    <row r="1125" spans="1:16" ht="15">
      <c r="A1125" s="3" t="s">
        <v>1314</v>
      </c>
      <c r="B1125" s="3" t="s">
        <v>1315</v>
      </c>
      <c r="C1125" s="61" t="s">
        <v>3294</v>
      </c>
      <c r="D1125" s="3" t="s">
        <v>3248</v>
      </c>
      <c r="E1125" s="3">
        <v>1</v>
      </c>
      <c r="F1125" s="3" t="s">
        <v>1906</v>
      </c>
      <c r="G1125" s="9">
        <v>2563.7762699999998</v>
      </c>
      <c r="H1125" s="66">
        <v>75631.39996499999</v>
      </c>
      <c r="I1125" s="9">
        <v>2909.9169069453301</v>
      </c>
      <c r="J1125" s="10">
        <v>1.1350120293239667</v>
      </c>
      <c r="K1125" s="66">
        <v>18281.517749663763</v>
      </c>
      <c r="L1125" s="69">
        <v>93912.917714663752</v>
      </c>
      <c r="M1125" s="64">
        <v>1638380.8002721595</v>
      </c>
      <c r="N1125" s="67">
        <v>32840.199030477896</v>
      </c>
      <c r="O1125" s="64">
        <f t="shared" si="34"/>
        <v>126753.11674514165</v>
      </c>
      <c r="P1125" s="64">
        <f t="shared" si="35"/>
        <v>49.440007003864523</v>
      </c>
    </row>
    <row r="1126" spans="1:16" ht="15">
      <c r="A1126" s="3" t="str">
        <f>"052787"</f>
        <v>052787</v>
      </c>
      <c r="B1126" s="3" t="s">
        <v>2895</v>
      </c>
      <c r="C1126" s="61" t="s">
        <v>3294</v>
      </c>
      <c r="D1126" s="3" t="s">
        <v>3249</v>
      </c>
      <c r="E1126" s="3">
        <v>1</v>
      </c>
      <c r="F1126" s="3" t="s">
        <v>3220</v>
      </c>
      <c r="G1126" s="9">
        <v>352</v>
      </c>
      <c r="H1126" s="66">
        <v>10384</v>
      </c>
      <c r="I1126" s="9">
        <v>387.83420000000001</v>
      </c>
      <c r="J1126" s="10">
        <v>1.1018017045454547</v>
      </c>
      <c r="K1126" s="66">
        <v>1892.593626470009</v>
      </c>
      <c r="L1126" s="69">
        <v>12276.593626470009</v>
      </c>
      <c r="M1126" s="64">
        <v>0</v>
      </c>
      <c r="N1126" s="67">
        <v>0</v>
      </c>
      <c r="O1126" s="64">
        <f t="shared" si="34"/>
        <v>12276.593626470009</v>
      </c>
      <c r="P1126" s="64">
        <f t="shared" si="35"/>
        <v>34.87668643883525</v>
      </c>
    </row>
    <row r="1127" spans="1:16" ht="15">
      <c r="A1127" s="3" t="str">
        <f>"119917"</f>
        <v>119917</v>
      </c>
      <c r="B1127" s="3" t="s">
        <v>3069</v>
      </c>
      <c r="C1127" s="61" t="s">
        <v>3294</v>
      </c>
      <c r="D1127" s="3" t="s">
        <v>3249</v>
      </c>
      <c r="E1127" s="3">
        <v>1</v>
      </c>
      <c r="F1127" s="3" t="s">
        <v>3220</v>
      </c>
      <c r="G1127" s="9">
        <v>4</v>
      </c>
      <c r="H1127" s="66">
        <v>118</v>
      </c>
      <c r="I1127" s="9">
        <v>4</v>
      </c>
      <c r="J1127" s="10">
        <v>1</v>
      </c>
      <c r="K1127" s="66">
        <v>0</v>
      </c>
      <c r="L1127" s="69">
        <v>118</v>
      </c>
      <c r="M1127" s="64">
        <v>0</v>
      </c>
      <c r="N1127" s="67">
        <v>0</v>
      </c>
      <c r="O1127" s="64">
        <f t="shared" si="34"/>
        <v>118</v>
      </c>
      <c r="P1127" s="64">
        <f t="shared" si="35"/>
        <v>29.5</v>
      </c>
    </row>
    <row r="1128" spans="1:16" ht="15">
      <c r="A1128" s="3" t="str">
        <f>"059964"</f>
        <v>059964</v>
      </c>
      <c r="B1128" s="3" t="s">
        <v>2734</v>
      </c>
      <c r="C1128" s="61" t="s">
        <v>3294</v>
      </c>
      <c r="D1128" s="3" t="s">
        <v>3249</v>
      </c>
      <c r="E1128" s="3">
        <v>1</v>
      </c>
      <c r="F1128" s="3" t="s">
        <v>3220</v>
      </c>
      <c r="G1128" s="9">
        <v>249</v>
      </c>
      <c r="H1128" s="66">
        <v>7345.5</v>
      </c>
      <c r="I1128" s="9">
        <v>283.34559999999999</v>
      </c>
      <c r="J1128" s="10">
        <v>1.1379341365461848</v>
      </c>
      <c r="K1128" s="66">
        <v>1813.9727873731883</v>
      </c>
      <c r="L1128" s="69">
        <v>9159.4727873731881</v>
      </c>
      <c r="M1128" s="64">
        <v>0</v>
      </c>
      <c r="N1128" s="67">
        <v>0</v>
      </c>
      <c r="O1128" s="64">
        <f t="shared" si="34"/>
        <v>9159.4727873731881</v>
      </c>
      <c r="P1128" s="64">
        <f t="shared" si="35"/>
        <v>36.78503127459112</v>
      </c>
    </row>
    <row r="1129" spans="1:16" ht="15">
      <c r="A1129" s="3" t="s">
        <v>214</v>
      </c>
      <c r="B1129" s="3" t="s">
        <v>215</v>
      </c>
      <c r="C1129" s="61" t="s">
        <v>3294</v>
      </c>
      <c r="D1129" s="3" t="s">
        <v>1684</v>
      </c>
      <c r="E1129" s="3">
        <v>1</v>
      </c>
      <c r="F1129" s="3" t="s">
        <v>3266</v>
      </c>
      <c r="G1129" s="9">
        <v>395.062859</v>
      </c>
      <c r="H1129" s="66">
        <v>11654.3543405</v>
      </c>
      <c r="I1129" s="9">
        <v>502.94496668900001</v>
      </c>
      <c r="J1129" s="10">
        <v>1.2730758035874994</v>
      </c>
      <c r="K1129" s="66">
        <v>5697.8246876546018</v>
      </c>
      <c r="L1129" s="69">
        <v>17352.179028154602</v>
      </c>
      <c r="M1129" s="64">
        <v>0</v>
      </c>
      <c r="N1129" s="67">
        <v>0</v>
      </c>
      <c r="O1129" s="64">
        <f t="shared" si="34"/>
        <v>17352.179028154602</v>
      </c>
      <c r="P1129" s="64">
        <f t="shared" si="35"/>
        <v>43.922577465462531</v>
      </c>
    </row>
    <row r="1130" spans="1:16" ht="15">
      <c r="A1130" s="3" t="str">
        <f>"009435"</f>
        <v>009435</v>
      </c>
      <c r="B1130" s="3" t="s">
        <v>2640</v>
      </c>
      <c r="C1130" s="61" t="s">
        <v>3294</v>
      </c>
      <c r="D1130" s="3" t="s">
        <v>3249</v>
      </c>
      <c r="E1130" s="3">
        <v>1</v>
      </c>
      <c r="F1130" s="3" t="s">
        <v>3220</v>
      </c>
      <c r="G1130" s="9">
        <v>40</v>
      </c>
      <c r="H1130" s="66">
        <v>1180</v>
      </c>
      <c r="I1130" s="9">
        <v>40.4</v>
      </c>
      <c r="J1130" s="10">
        <v>1.01</v>
      </c>
      <c r="K1130" s="66">
        <v>21.126115570823426</v>
      </c>
      <c r="L1130" s="69">
        <v>1201.1261155708235</v>
      </c>
      <c r="M1130" s="64">
        <v>0</v>
      </c>
      <c r="N1130" s="67">
        <v>0</v>
      </c>
      <c r="O1130" s="64">
        <f t="shared" si="34"/>
        <v>1201.1261155708235</v>
      </c>
      <c r="P1130" s="64">
        <f t="shared" si="35"/>
        <v>30.028152889270586</v>
      </c>
    </row>
    <row r="1131" spans="1:16" ht="15">
      <c r="A1131" s="3" t="s">
        <v>1316</v>
      </c>
      <c r="B1131" s="3" t="s">
        <v>1317</v>
      </c>
      <c r="C1131" s="61" t="s">
        <v>3294</v>
      </c>
      <c r="D1131" s="3" t="s">
        <v>3248</v>
      </c>
      <c r="E1131" s="3">
        <v>1</v>
      </c>
      <c r="F1131" s="3" t="s">
        <v>1904</v>
      </c>
      <c r="G1131" s="9">
        <v>747.53919099999996</v>
      </c>
      <c r="H1131" s="66">
        <v>22052.406134499997</v>
      </c>
      <c r="I1131" s="9">
        <v>893.68683609514699</v>
      </c>
      <c r="J1131" s="10">
        <v>1.1955049940587623</v>
      </c>
      <c r="K1131" s="66">
        <v>7718.8301017094309</v>
      </c>
      <c r="L1131" s="69">
        <v>29771.236236209428</v>
      </c>
      <c r="M1131" s="64">
        <v>780714.79840202327</v>
      </c>
      <c r="N1131" s="67">
        <v>15648.88294668912</v>
      </c>
      <c r="O1131" s="64">
        <f t="shared" si="34"/>
        <v>45420.119182898547</v>
      </c>
      <c r="P1131" s="64">
        <f t="shared" si="35"/>
        <v>60.759515661164244</v>
      </c>
    </row>
    <row r="1132" spans="1:16" ht="15">
      <c r="A1132" s="3" t="s">
        <v>1318</v>
      </c>
      <c r="B1132" s="3" t="s">
        <v>1319</v>
      </c>
      <c r="C1132" s="61" t="s">
        <v>3294</v>
      </c>
      <c r="D1132" s="3" t="s">
        <v>3248</v>
      </c>
      <c r="E1132" s="3">
        <v>1</v>
      </c>
      <c r="F1132" s="3" t="s">
        <v>1904</v>
      </c>
      <c r="G1132" s="9">
        <v>493.83421800000002</v>
      </c>
      <c r="H1132" s="66">
        <v>14568.109431000001</v>
      </c>
      <c r="I1132" s="9">
        <v>582.73729333802396</v>
      </c>
      <c r="J1132" s="10">
        <v>1.1800261547247095</v>
      </c>
      <c r="K1132" s="66">
        <v>4695.4416104818056</v>
      </c>
      <c r="L1132" s="69">
        <v>19263.551041481805</v>
      </c>
      <c r="M1132" s="64">
        <v>187104.88505083768</v>
      </c>
      <c r="N1132" s="67">
        <v>3750.3867621150675</v>
      </c>
      <c r="O1132" s="64">
        <f t="shared" si="34"/>
        <v>23013.937803596873</v>
      </c>
      <c r="P1132" s="64">
        <f t="shared" si="35"/>
        <v>46.602558034155649</v>
      </c>
    </row>
    <row r="1133" spans="1:16" ht="15">
      <c r="A1133" s="3" t="s">
        <v>489</v>
      </c>
      <c r="B1133" s="3" t="s">
        <v>490</v>
      </c>
      <c r="C1133" s="61" t="s">
        <v>3294</v>
      </c>
      <c r="D1133" s="3" t="s">
        <v>456</v>
      </c>
      <c r="E1133" s="3">
        <v>1</v>
      </c>
      <c r="F1133" s="3" t="s">
        <v>1897</v>
      </c>
      <c r="G1133" s="9">
        <v>727.98693400000002</v>
      </c>
      <c r="H1133" s="66">
        <v>21475.614552999999</v>
      </c>
      <c r="I1133" s="9">
        <v>989.26262592077796</v>
      </c>
      <c r="J1133" s="10">
        <v>1.3589016227051927</v>
      </c>
      <c r="K1133" s="66">
        <v>13799.351158413076</v>
      </c>
      <c r="L1133" s="69">
        <v>35274.965711413075</v>
      </c>
      <c r="M1133" s="64">
        <v>0</v>
      </c>
      <c r="N1133" s="67">
        <v>0</v>
      </c>
      <c r="O1133" s="64">
        <f t="shared" si="34"/>
        <v>35274.965711413075</v>
      </c>
      <c r="P1133" s="64">
        <f t="shared" si="35"/>
        <v>48.455492899564973</v>
      </c>
    </row>
    <row r="1134" spans="1:16" ht="15">
      <c r="A1134" s="19">
        <v>66118</v>
      </c>
      <c r="B1134" s="20" t="s">
        <v>1941</v>
      </c>
      <c r="C1134" s="61" t="s">
        <v>3294</v>
      </c>
      <c r="D1134" s="19" t="s">
        <v>1973</v>
      </c>
      <c r="E1134" s="19">
        <v>1</v>
      </c>
      <c r="F1134" s="19" t="s">
        <v>1974</v>
      </c>
      <c r="G1134" s="9">
        <v>67.919999999999987</v>
      </c>
      <c r="H1134" s="66">
        <v>2003.6399999999996</v>
      </c>
      <c r="I1134" s="9">
        <v>313.66898700000002</v>
      </c>
      <c r="J1134" s="10">
        <v>4.6182124116607781</v>
      </c>
      <c r="K1134" s="66">
        <v>12979.303751937006</v>
      </c>
      <c r="L1134" s="69">
        <v>14982.943751937006</v>
      </c>
      <c r="M1134" s="64">
        <v>0</v>
      </c>
      <c r="N1134" s="67">
        <v>0</v>
      </c>
      <c r="O1134" s="64">
        <f t="shared" si="34"/>
        <v>14982.943751937006</v>
      </c>
      <c r="P1134" s="64">
        <f t="shared" si="35"/>
        <v>220.59693392133406</v>
      </c>
    </row>
    <row r="1135" spans="1:16" ht="15">
      <c r="A1135" s="3" t="s">
        <v>178</v>
      </c>
      <c r="B1135" s="3" t="s">
        <v>179</v>
      </c>
      <c r="C1135" s="61" t="s">
        <v>3294</v>
      </c>
      <c r="D1135" s="3" t="s">
        <v>1684</v>
      </c>
      <c r="E1135" s="3">
        <v>1</v>
      </c>
      <c r="F1135" s="3" t="s">
        <v>3266</v>
      </c>
      <c r="G1135" s="9">
        <v>78.775744000000003</v>
      </c>
      <c r="H1135" s="66">
        <v>2323.8844480000002</v>
      </c>
      <c r="I1135" s="9">
        <v>107.147488823345</v>
      </c>
      <c r="J1135" s="10">
        <v>1.3601583861060709</v>
      </c>
      <c r="K1135" s="66">
        <v>1498.4619002097495</v>
      </c>
      <c r="L1135" s="69">
        <v>3822.3463482097495</v>
      </c>
      <c r="M1135" s="64">
        <v>0</v>
      </c>
      <c r="N1135" s="67">
        <v>0</v>
      </c>
      <c r="O1135" s="64">
        <f t="shared" si="34"/>
        <v>3822.3463482097495</v>
      </c>
      <c r="P1135" s="64">
        <f t="shared" si="35"/>
        <v>48.521869221695312</v>
      </c>
    </row>
    <row r="1136" spans="1:16" ht="15">
      <c r="A1136" s="3" t="s">
        <v>441</v>
      </c>
      <c r="B1136" s="61" t="s">
        <v>442</v>
      </c>
      <c r="C1136" s="61" t="s">
        <v>3294</v>
      </c>
      <c r="D1136" s="3" t="s">
        <v>1684</v>
      </c>
      <c r="E1136" s="3">
        <v>1</v>
      </c>
      <c r="F1136" s="3" t="s">
        <v>3267</v>
      </c>
      <c r="G1136" s="9">
        <v>89.750996000000001</v>
      </c>
      <c r="H1136" s="66">
        <v>529.53087640000001</v>
      </c>
      <c r="I1136" s="9">
        <v>118.59807215324599</v>
      </c>
      <c r="J1136" s="10">
        <v>1.3214123234158426</v>
      </c>
      <c r="K1136" s="66">
        <v>0</v>
      </c>
      <c r="L1136" s="69">
        <v>529.53087640000001</v>
      </c>
      <c r="M1136" s="64">
        <v>0</v>
      </c>
      <c r="N1136" s="67">
        <v>0</v>
      </c>
      <c r="O1136" s="64">
        <f t="shared" si="34"/>
        <v>529.53087640000001</v>
      </c>
      <c r="P1136" s="64">
        <f t="shared" si="35"/>
        <v>5.9</v>
      </c>
    </row>
    <row r="1137" spans="1:16" ht="15">
      <c r="A1137" s="3" t="s">
        <v>1320</v>
      </c>
      <c r="B1137" s="3" t="s">
        <v>1321</v>
      </c>
      <c r="C1137" s="61" t="s">
        <v>3294</v>
      </c>
      <c r="D1137" s="3" t="s">
        <v>3248</v>
      </c>
      <c r="E1137" s="3">
        <v>1</v>
      </c>
      <c r="F1137" s="3" t="s">
        <v>1906</v>
      </c>
      <c r="G1137" s="9">
        <v>1814.7664119999999</v>
      </c>
      <c r="H1137" s="66">
        <v>53535.609153999998</v>
      </c>
      <c r="I1137" s="9">
        <v>2042.94095687864</v>
      </c>
      <c r="J1137" s="10">
        <v>1.1257321842468837</v>
      </c>
      <c r="K1137" s="66">
        <v>12051.104513565508</v>
      </c>
      <c r="L1137" s="69">
        <v>65586.713667565506</v>
      </c>
      <c r="M1137" s="64">
        <v>968180.73301701597</v>
      </c>
      <c r="N1137" s="67">
        <v>19406.506695190226</v>
      </c>
      <c r="O1137" s="64">
        <f t="shared" si="34"/>
        <v>84993.220362755732</v>
      </c>
      <c r="P1137" s="64">
        <f t="shared" si="35"/>
        <v>46.834248088759388</v>
      </c>
    </row>
    <row r="1138" spans="1:16" ht="15">
      <c r="A1138" s="3" t="str">
        <f>"132878"</f>
        <v>132878</v>
      </c>
      <c r="B1138" s="3" t="s">
        <v>2948</v>
      </c>
      <c r="C1138" s="61" t="s">
        <v>3294</v>
      </c>
      <c r="D1138" s="3" t="s">
        <v>3249</v>
      </c>
      <c r="E1138" s="3">
        <v>1</v>
      </c>
      <c r="F1138" s="3" t="s">
        <v>3220</v>
      </c>
      <c r="G1138" s="9">
        <v>151</v>
      </c>
      <c r="H1138" s="66">
        <v>4454.5</v>
      </c>
      <c r="I1138" s="9">
        <v>277.75959999999998</v>
      </c>
      <c r="J1138" s="10">
        <v>1.8394675496688739</v>
      </c>
      <c r="K1138" s="66">
        <v>6694.8448982783948</v>
      </c>
      <c r="L1138" s="69">
        <v>11149.344898278396</v>
      </c>
      <c r="M1138" s="64">
        <v>0</v>
      </c>
      <c r="N1138" s="67">
        <v>0</v>
      </c>
      <c r="O1138" s="64">
        <f t="shared" si="34"/>
        <v>11149.344898278396</v>
      </c>
      <c r="P1138" s="64">
        <f t="shared" si="35"/>
        <v>73.836721180651622</v>
      </c>
    </row>
    <row r="1139" spans="1:16" ht="15">
      <c r="A1139" s="3" t="s">
        <v>1322</v>
      </c>
      <c r="B1139" s="3" t="s">
        <v>1323</v>
      </c>
      <c r="C1139" s="61" t="s">
        <v>3294</v>
      </c>
      <c r="D1139" s="3" t="s">
        <v>3248</v>
      </c>
      <c r="E1139" s="3">
        <v>1</v>
      </c>
      <c r="F1139" s="3" t="s">
        <v>1905</v>
      </c>
      <c r="G1139" s="9">
        <v>406.78564899999998</v>
      </c>
      <c r="H1139" s="66">
        <v>12000.1766455</v>
      </c>
      <c r="I1139" s="9">
        <v>584.62668354586594</v>
      </c>
      <c r="J1139" s="10">
        <v>1.4371861076787051</v>
      </c>
      <c r="K1139" s="66">
        <v>9392.7256226269474</v>
      </c>
      <c r="L1139" s="69">
        <v>21392.902268126949</v>
      </c>
      <c r="M1139" s="64">
        <v>160027.89498141178</v>
      </c>
      <c r="N1139" s="67">
        <v>3207.6474045258501</v>
      </c>
      <c r="O1139" s="64">
        <f t="shared" si="34"/>
        <v>24600.5496726528</v>
      </c>
      <c r="P1139" s="64">
        <f t="shared" si="35"/>
        <v>60.475461052100194</v>
      </c>
    </row>
    <row r="1140" spans="1:16" ht="15">
      <c r="A1140" s="3" t="s">
        <v>1324</v>
      </c>
      <c r="B1140" s="3" t="s">
        <v>1325</v>
      </c>
      <c r="C1140" s="61" t="s">
        <v>3294</v>
      </c>
      <c r="D1140" s="3" t="s">
        <v>3248</v>
      </c>
      <c r="E1140" s="3">
        <v>1</v>
      </c>
      <c r="F1140" s="3" t="s">
        <v>1904</v>
      </c>
      <c r="G1140" s="9">
        <v>1242.165219</v>
      </c>
      <c r="H1140" s="66">
        <v>36643.873960500001</v>
      </c>
      <c r="I1140" s="9">
        <v>1410.45047741195</v>
      </c>
      <c r="J1140" s="10">
        <v>1.1354773550554147</v>
      </c>
      <c r="K1140" s="66">
        <v>8888.0345451918856</v>
      </c>
      <c r="L1140" s="69">
        <v>45531.908505691885</v>
      </c>
      <c r="M1140" s="64">
        <v>773394.20638700121</v>
      </c>
      <c r="N1140" s="67">
        <v>15502.146791849957</v>
      </c>
      <c r="O1140" s="64">
        <f t="shared" si="34"/>
        <v>61034.05529754184</v>
      </c>
      <c r="P1140" s="64">
        <f t="shared" si="35"/>
        <v>49.135215158155091</v>
      </c>
    </row>
    <row r="1141" spans="1:16" ht="15">
      <c r="A1141" s="3" t="s">
        <v>247</v>
      </c>
      <c r="B1141" s="3" t="s">
        <v>248</v>
      </c>
      <c r="C1141" s="61" t="s">
        <v>3294</v>
      </c>
      <c r="D1141" s="3" t="s">
        <v>1684</v>
      </c>
      <c r="E1141" s="3">
        <v>1</v>
      </c>
      <c r="F1141" s="3" t="s">
        <v>3266</v>
      </c>
      <c r="G1141" s="9">
        <v>149.236514</v>
      </c>
      <c r="H1141" s="66">
        <v>4402.4771629999996</v>
      </c>
      <c r="I1141" s="9">
        <v>206.311960364415</v>
      </c>
      <c r="J1141" s="10">
        <v>1.3824496085751172</v>
      </c>
      <c r="K1141" s="66">
        <v>3014.4561903774234</v>
      </c>
      <c r="L1141" s="69">
        <v>7416.9333533774225</v>
      </c>
      <c r="M1141" s="64">
        <v>0</v>
      </c>
      <c r="N1141" s="67">
        <v>0</v>
      </c>
      <c r="O1141" s="64">
        <f t="shared" si="34"/>
        <v>7416.9333533774225</v>
      </c>
      <c r="P1141" s="64">
        <f t="shared" si="35"/>
        <v>49.69918657693534</v>
      </c>
    </row>
    <row r="1142" spans="1:16" ht="15">
      <c r="A1142" s="3" t="s">
        <v>1326</v>
      </c>
      <c r="B1142" s="3" t="s">
        <v>1303</v>
      </c>
      <c r="C1142" s="61" t="s">
        <v>3294</v>
      </c>
      <c r="D1142" s="3" t="s">
        <v>3248</v>
      </c>
      <c r="E1142" s="3">
        <v>1</v>
      </c>
      <c r="F1142" s="3" t="s">
        <v>1904</v>
      </c>
      <c r="G1142" s="9">
        <v>942.59684300000004</v>
      </c>
      <c r="H1142" s="66">
        <v>27806.606868500003</v>
      </c>
      <c r="I1142" s="9">
        <v>1078.0419774002301</v>
      </c>
      <c r="J1142" s="10">
        <v>1.1436936007223928</v>
      </c>
      <c r="K1142" s="66">
        <v>7153.5739071124526</v>
      </c>
      <c r="L1142" s="69">
        <v>34960.180775612454</v>
      </c>
      <c r="M1142" s="64">
        <v>631807.9602775299</v>
      </c>
      <c r="N1142" s="67">
        <v>12664.149360824837</v>
      </c>
      <c r="O1142" s="64">
        <f t="shared" si="34"/>
        <v>47624.330136437289</v>
      </c>
      <c r="P1142" s="64">
        <f t="shared" si="35"/>
        <v>50.524601785068029</v>
      </c>
    </row>
    <row r="1143" spans="1:16" ht="15">
      <c r="A1143" s="3" t="str">
        <f>"059592"</f>
        <v>059592</v>
      </c>
      <c r="B1143" s="3" t="s">
        <v>2866</v>
      </c>
      <c r="C1143" s="61" t="s">
        <v>3294</v>
      </c>
      <c r="D1143" s="3" t="s">
        <v>3249</v>
      </c>
      <c r="E1143" s="3">
        <v>1</v>
      </c>
      <c r="F1143" s="3" t="s">
        <v>3220</v>
      </c>
      <c r="G1143" s="9">
        <v>277</v>
      </c>
      <c r="H1143" s="66">
        <v>8171.5</v>
      </c>
      <c r="I1143" s="9">
        <v>295.66019999999997</v>
      </c>
      <c r="J1143" s="10">
        <v>1.0673653429602887</v>
      </c>
      <c r="K1143" s="66">
        <v>985.54385443670026</v>
      </c>
      <c r="L1143" s="69">
        <v>9157.0438544367007</v>
      </c>
      <c r="M1143" s="64">
        <v>0</v>
      </c>
      <c r="N1143" s="67">
        <v>0</v>
      </c>
      <c r="O1143" s="64">
        <f t="shared" si="34"/>
        <v>9157.0438544367007</v>
      </c>
      <c r="P1143" s="64">
        <f t="shared" si="35"/>
        <v>33.05792005211805</v>
      </c>
    </row>
    <row r="1144" spans="1:16" ht="15">
      <c r="A1144" s="3" t="str">
        <f>"060152"</f>
        <v>060152</v>
      </c>
      <c r="B1144" s="3" t="s">
        <v>2768</v>
      </c>
      <c r="C1144" s="61" t="s">
        <v>3294</v>
      </c>
      <c r="D1144" s="3" t="s">
        <v>3249</v>
      </c>
      <c r="E1144" s="3">
        <v>1</v>
      </c>
      <c r="F1144" s="3" t="s">
        <v>3220</v>
      </c>
      <c r="G1144" s="9">
        <v>323</v>
      </c>
      <c r="H1144" s="66">
        <v>9528.5</v>
      </c>
      <c r="I1144" s="9">
        <v>342.14879999999999</v>
      </c>
      <c r="J1144" s="10">
        <v>1.0592842105263158</v>
      </c>
      <c r="K1144" s="66">
        <v>1011.3494046064623</v>
      </c>
      <c r="L1144" s="69">
        <v>10539.849404606462</v>
      </c>
      <c r="M1144" s="64">
        <v>0</v>
      </c>
      <c r="N1144" s="67">
        <v>0</v>
      </c>
      <c r="O1144" s="64">
        <f t="shared" si="34"/>
        <v>10539.849404606462</v>
      </c>
      <c r="P1144" s="64">
        <f t="shared" si="35"/>
        <v>32.631112707759947</v>
      </c>
    </row>
    <row r="1145" spans="1:16" ht="15">
      <c r="A1145" s="3" t="str">
        <f>"059626"</f>
        <v>059626</v>
      </c>
      <c r="B1145" s="3" t="s">
        <v>2706</v>
      </c>
      <c r="C1145" s="61" t="s">
        <v>3294</v>
      </c>
      <c r="D1145" s="3" t="s">
        <v>3249</v>
      </c>
      <c r="E1145" s="3">
        <v>1</v>
      </c>
      <c r="F1145" s="3" t="s">
        <v>3220</v>
      </c>
      <c r="G1145" s="9">
        <v>173</v>
      </c>
      <c r="H1145" s="66">
        <v>5103.5</v>
      </c>
      <c r="I1145" s="9">
        <v>193.36179999999999</v>
      </c>
      <c r="J1145" s="10">
        <v>1.1176982658959538</v>
      </c>
      <c r="K1145" s="66">
        <v>1075.4143500749842</v>
      </c>
      <c r="L1145" s="69">
        <v>6178.9143500749842</v>
      </c>
      <c r="M1145" s="64">
        <v>0</v>
      </c>
      <c r="N1145" s="67">
        <v>0</v>
      </c>
      <c r="O1145" s="64">
        <f t="shared" si="34"/>
        <v>6178.9143500749842</v>
      </c>
      <c r="P1145" s="64">
        <f t="shared" si="35"/>
        <v>35.716267919508581</v>
      </c>
    </row>
    <row r="1146" spans="1:16" ht="15">
      <c r="A1146" s="3" t="str">
        <f>"060004"</f>
        <v>060004</v>
      </c>
      <c r="B1146" s="3" t="s">
        <v>2698</v>
      </c>
      <c r="C1146" s="61" t="s">
        <v>3294</v>
      </c>
      <c r="D1146" s="3" t="s">
        <v>3249</v>
      </c>
      <c r="E1146" s="3">
        <v>1</v>
      </c>
      <c r="F1146" s="3" t="s">
        <v>3220</v>
      </c>
      <c r="G1146" s="9">
        <v>180</v>
      </c>
      <c r="H1146" s="66">
        <v>5310</v>
      </c>
      <c r="I1146" s="9">
        <v>200.02439999999999</v>
      </c>
      <c r="J1146" s="10">
        <v>1.1112466666666665</v>
      </c>
      <c r="K1146" s="66">
        <v>1057.5944715909945</v>
      </c>
      <c r="L1146" s="69">
        <v>6367.5944715909945</v>
      </c>
      <c r="M1146" s="64">
        <v>0</v>
      </c>
      <c r="N1146" s="67">
        <v>0</v>
      </c>
      <c r="O1146" s="64">
        <f t="shared" si="34"/>
        <v>6367.5944715909945</v>
      </c>
      <c r="P1146" s="64">
        <f t="shared" si="35"/>
        <v>35.37552484217219</v>
      </c>
    </row>
    <row r="1147" spans="1:16" ht="15">
      <c r="A1147" s="3" t="s">
        <v>118</v>
      </c>
      <c r="B1147" s="3" t="s">
        <v>119</v>
      </c>
      <c r="C1147" s="61" t="s">
        <v>3294</v>
      </c>
      <c r="D1147" s="3" t="s">
        <v>1684</v>
      </c>
      <c r="E1147" s="3">
        <v>1</v>
      </c>
      <c r="F1147" s="3" t="s">
        <v>3266</v>
      </c>
      <c r="G1147" s="9">
        <v>442.70430499999998</v>
      </c>
      <c r="H1147" s="66">
        <v>13059.776997499999</v>
      </c>
      <c r="I1147" s="9">
        <v>645.21839816112902</v>
      </c>
      <c r="J1147" s="10">
        <v>1.4574477611215664</v>
      </c>
      <c r="K1147" s="66">
        <v>10695.840342106323</v>
      </c>
      <c r="L1147" s="69">
        <v>23755.617339606324</v>
      </c>
      <c r="M1147" s="64">
        <v>0</v>
      </c>
      <c r="N1147" s="67">
        <v>0</v>
      </c>
      <c r="O1147" s="64">
        <f t="shared" si="34"/>
        <v>23755.617339606324</v>
      </c>
      <c r="P1147" s="64">
        <f t="shared" si="35"/>
        <v>53.660235672671682</v>
      </c>
    </row>
    <row r="1148" spans="1:16" ht="15">
      <c r="A1148" s="3" t="s">
        <v>795</v>
      </c>
      <c r="B1148" s="3" t="s">
        <v>796</v>
      </c>
      <c r="C1148" s="61" t="s">
        <v>3294</v>
      </c>
      <c r="D1148" s="3" t="s">
        <v>3248</v>
      </c>
      <c r="E1148" s="3">
        <v>1</v>
      </c>
      <c r="F1148" s="3" t="s">
        <v>1905</v>
      </c>
      <c r="G1148" s="9">
        <v>1763.3694049999999</v>
      </c>
      <c r="H1148" s="66">
        <v>52019.3974475</v>
      </c>
      <c r="I1148" s="9">
        <v>2285.4061849290802</v>
      </c>
      <c r="J1148" s="10">
        <v>1.2960450478775773</v>
      </c>
      <c r="K1148" s="66">
        <v>27571.523362505755</v>
      </c>
      <c r="L1148" s="69">
        <v>79590.920810005759</v>
      </c>
      <c r="M1148" s="64">
        <v>364582.30068594188</v>
      </c>
      <c r="N1148" s="67">
        <v>7307.7976228279667</v>
      </c>
      <c r="O1148" s="64">
        <f t="shared" si="34"/>
        <v>86898.718432833732</v>
      </c>
      <c r="P1148" s="64">
        <f t="shared" si="35"/>
        <v>49.279928633463918</v>
      </c>
    </row>
    <row r="1149" spans="1:16" ht="15">
      <c r="A1149" s="3" t="s">
        <v>27</v>
      </c>
      <c r="B1149" s="3" t="s">
        <v>28</v>
      </c>
      <c r="C1149" s="61" t="s">
        <v>3294</v>
      </c>
      <c r="D1149" s="3" t="s">
        <v>1684</v>
      </c>
      <c r="E1149" s="3">
        <v>1</v>
      </c>
      <c r="F1149" s="3" t="s">
        <v>3266</v>
      </c>
      <c r="G1149" s="9">
        <v>179.292024</v>
      </c>
      <c r="H1149" s="66">
        <v>5289.1147080000001</v>
      </c>
      <c r="I1149" s="9">
        <v>456.95237284194599</v>
      </c>
      <c r="J1149" s="10">
        <v>2.5486486383908855</v>
      </c>
      <c r="K1149" s="66">
        <v>14664.711547675299</v>
      </c>
      <c r="L1149" s="69">
        <v>19953.8262556753</v>
      </c>
      <c r="M1149" s="64">
        <v>0</v>
      </c>
      <c r="N1149" s="67">
        <v>0</v>
      </c>
      <c r="O1149" s="64">
        <f t="shared" si="34"/>
        <v>19953.8262556753</v>
      </c>
      <c r="P1149" s="64">
        <f t="shared" si="35"/>
        <v>111.29232528311076</v>
      </c>
    </row>
    <row r="1150" spans="1:16" ht="15">
      <c r="A1150" s="3" t="s">
        <v>89</v>
      </c>
      <c r="B1150" s="3" t="s">
        <v>90</v>
      </c>
      <c r="C1150" s="61" t="s">
        <v>3294</v>
      </c>
      <c r="D1150" s="3" t="s">
        <v>1684</v>
      </c>
      <c r="E1150" s="3">
        <v>1</v>
      </c>
      <c r="F1150" s="3" t="s">
        <v>3266</v>
      </c>
      <c r="G1150" s="9">
        <v>212.49461299999999</v>
      </c>
      <c r="H1150" s="66">
        <v>6268.5910834999995</v>
      </c>
      <c r="I1150" s="9">
        <v>571.87935893930899</v>
      </c>
      <c r="J1150" s="10">
        <v>2.6912652083999373</v>
      </c>
      <c r="K1150" s="66">
        <v>18981.009192762209</v>
      </c>
      <c r="L1150" s="69">
        <v>25249.600276262208</v>
      </c>
      <c r="M1150" s="64">
        <v>0</v>
      </c>
      <c r="N1150" s="67">
        <v>0</v>
      </c>
      <c r="O1150" s="64">
        <f t="shared" si="34"/>
        <v>25249.600276262208</v>
      </c>
      <c r="P1150" s="64">
        <f t="shared" si="35"/>
        <v>118.82466063392492</v>
      </c>
    </row>
    <row r="1151" spans="1:16" ht="15">
      <c r="A1151" s="3" t="str">
        <f>"096909"</f>
        <v>096909</v>
      </c>
      <c r="B1151" s="3" t="s">
        <v>2637</v>
      </c>
      <c r="C1151" s="61" t="s">
        <v>3294</v>
      </c>
      <c r="D1151" s="3" t="s">
        <v>3249</v>
      </c>
      <c r="E1151" s="3">
        <v>1</v>
      </c>
      <c r="F1151" s="3" t="s">
        <v>3220</v>
      </c>
      <c r="G1151" s="9">
        <v>91</v>
      </c>
      <c r="H1151" s="66">
        <v>2684.5</v>
      </c>
      <c r="I1151" s="9">
        <v>92.6</v>
      </c>
      <c r="J1151" s="10">
        <v>1.0175824175824175</v>
      </c>
      <c r="K1151" s="66">
        <v>84.504462283293705</v>
      </c>
      <c r="L1151" s="69">
        <v>2769.0044622832938</v>
      </c>
      <c r="M1151" s="64">
        <v>0</v>
      </c>
      <c r="N1151" s="67">
        <v>0</v>
      </c>
      <c r="O1151" s="64">
        <f t="shared" si="34"/>
        <v>2769.0044622832938</v>
      </c>
      <c r="P1151" s="64">
        <f t="shared" si="35"/>
        <v>30.42862046465158</v>
      </c>
    </row>
    <row r="1152" spans="1:16" ht="15">
      <c r="A1152" s="3" t="str">
        <f>"053934"</f>
        <v>053934</v>
      </c>
      <c r="B1152" s="3" t="s">
        <v>2848</v>
      </c>
      <c r="C1152" s="61" t="s">
        <v>3294</v>
      </c>
      <c r="D1152" s="3" t="s">
        <v>3249</v>
      </c>
      <c r="E1152" s="3">
        <v>1</v>
      </c>
      <c r="F1152" s="3" t="s">
        <v>3220</v>
      </c>
      <c r="G1152" s="9">
        <v>431</v>
      </c>
      <c r="H1152" s="66">
        <v>12714.5</v>
      </c>
      <c r="I1152" s="9">
        <v>453.94799999999998</v>
      </c>
      <c r="J1152" s="10">
        <v>1.0532436194895591</v>
      </c>
      <c r="K1152" s="66">
        <v>1212.005250298143</v>
      </c>
      <c r="L1152" s="69">
        <v>13926.505250298143</v>
      </c>
      <c r="M1152" s="64">
        <v>0</v>
      </c>
      <c r="N1152" s="67">
        <v>0</v>
      </c>
      <c r="O1152" s="64">
        <f t="shared" si="34"/>
        <v>13926.505250298143</v>
      </c>
      <c r="P1152" s="64">
        <f t="shared" si="35"/>
        <v>32.312077146863444</v>
      </c>
    </row>
    <row r="1153" spans="1:16" ht="15">
      <c r="A1153" s="3" t="str">
        <f>"134437"</f>
        <v>134437</v>
      </c>
      <c r="B1153" s="3" t="s">
        <v>2642</v>
      </c>
      <c r="C1153" s="61" t="s">
        <v>3294</v>
      </c>
      <c r="D1153" s="3" t="s">
        <v>3249</v>
      </c>
      <c r="E1153" s="3">
        <v>1</v>
      </c>
      <c r="F1153" s="3" t="s">
        <v>3220</v>
      </c>
      <c r="G1153" s="9">
        <v>31</v>
      </c>
      <c r="H1153" s="66">
        <v>914.5</v>
      </c>
      <c r="I1153" s="9">
        <v>31</v>
      </c>
      <c r="J1153" s="10">
        <v>1</v>
      </c>
      <c r="K1153" s="66">
        <v>0</v>
      </c>
      <c r="L1153" s="69">
        <v>914.5</v>
      </c>
      <c r="M1153" s="64">
        <v>0</v>
      </c>
      <c r="N1153" s="67">
        <v>0</v>
      </c>
      <c r="O1153" s="64">
        <f t="shared" si="34"/>
        <v>914.5</v>
      </c>
      <c r="P1153" s="64">
        <f t="shared" si="35"/>
        <v>29.5</v>
      </c>
    </row>
    <row r="1154" spans="1:16" ht="15">
      <c r="A1154" s="3" t="str">
        <f>"068403"</f>
        <v>068403</v>
      </c>
      <c r="B1154" s="3" t="s">
        <v>2940</v>
      </c>
      <c r="C1154" s="61" t="s">
        <v>3294</v>
      </c>
      <c r="D1154" s="3" t="s">
        <v>3249</v>
      </c>
      <c r="E1154" s="3">
        <v>1</v>
      </c>
      <c r="F1154" s="3" t="s">
        <v>3220</v>
      </c>
      <c r="G1154" s="9">
        <v>707</v>
      </c>
      <c r="H1154" s="66">
        <v>20856.5</v>
      </c>
      <c r="I1154" s="9">
        <v>815.40420000000006</v>
      </c>
      <c r="J1154" s="10">
        <v>1.1533298444130129</v>
      </c>
      <c r="K1154" s="66">
        <v>5725.3991439066649</v>
      </c>
      <c r="L1154" s="69">
        <v>26581.899143906667</v>
      </c>
      <c r="M1154" s="64">
        <v>0</v>
      </c>
      <c r="N1154" s="67">
        <v>0</v>
      </c>
      <c r="O1154" s="64">
        <f t="shared" si="34"/>
        <v>26581.899143906667</v>
      </c>
      <c r="P1154" s="64">
        <f t="shared" si="35"/>
        <v>37.598160033814239</v>
      </c>
    </row>
    <row r="1155" spans="1:16" ht="15">
      <c r="A1155" s="3" t="s">
        <v>1745</v>
      </c>
      <c r="B1155" s="3" t="s">
        <v>1887</v>
      </c>
      <c r="C1155" s="61" t="s">
        <v>3294</v>
      </c>
      <c r="D1155" s="3" t="s">
        <v>1673</v>
      </c>
      <c r="E1155" s="3">
        <v>1</v>
      </c>
      <c r="F1155" s="3" t="s">
        <v>1673</v>
      </c>
      <c r="G1155" s="9">
        <v>200.779235</v>
      </c>
      <c r="H1155" s="66">
        <v>5922.9874325000001</v>
      </c>
      <c r="I1155" s="9">
        <v>264.78537469606101</v>
      </c>
      <c r="J1155" s="10">
        <v>1.3187886421425055</v>
      </c>
      <c r="K1155" s="66">
        <v>3380.5027611531464</v>
      </c>
      <c r="L1155" s="69">
        <v>9303.490193653146</v>
      </c>
      <c r="M1155" s="64">
        <v>0</v>
      </c>
      <c r="N1155" s="67">
        <v>0</v>
      </c>
      <c r="O1155" s="64">
        <f t="shared" ref="O1155:O1218" si="36">(N1155+L1155)</f>
        <v>9303.490193653146</v>
      </c>
      <c r="P1155" s="64">
        <f t="shared" ref="P1155:P1218" si="37">O1155/G1155</f>
        <v>46.336914241421162</v>
      </c>
    </row>
    <row r="1156" spans="1:16" ht="15">
      <c r="A1156" s="3" t="s">
        <v>1327</v>
      </c>
      <c r="B1156" s="3" t="s">
        <v>1328</v>
      </c>
      <c r="C1156" s="61" t="s">
        <v>3294</v>
      </c>
      <c r="D1156" s="3" t="s">
        <v>3248</v>
      </c>
      <c r="E1156" s="3">
        <v>1</v>
      </c>
      <c r="F1156" s="3" t="s">
        <v>3223</v>
      </c>
      <c r="G1156" s="9">
        <v>1989.0432929999999</v>
      </c>
      <c r="H1156" s="66">
        <v>58676.777143499996</v>
      </c>
      <c r="I1156" s="9">
        <v>2375.6721742874302</v>
      </c>
      <c r="J1156" s="10">
        <v>1.1943793192677532</v>
      </c>
      <c r="K1156" s="66">
        <v>20419.916072741125</v>
      </c>
      <c r="L1156" s="69">
        <v>79096.693216241125</v>
      </c>
      <c r="M1156" s="64">
        <v>1814559.3567002672</v>
      </c>
      <c r="N1156" s="67">
        <v>36371.575165403454</v>
      </c>
      <c r="O1156" s="64">
        <f t="shared" si="36"/>
        <v>115468.26838164458</v>
      </c>
      <c r="P1156" s="64">
        <f t="shared" si="37"/>
        <v>58.052164469224842</v>
      </c>
    </row>
    <row r="1157" spans="1:16" ht="15">
      <c r="A1157" s="3" t="s">
        <v>1329</v>
      </c>
      <c r="B1157" s="3" t="s">
        <v>1235</v>
      </c>
      <c r="C1157" s="61" t="s">
        <v>3294</v>
      </c>
      <c r="D1157" s="3" t="s">
        <v>3248</v>
      </c>
      <c r="E1157" s="3">
        <v>1</v>
      </c>
      <c r="F1157" s="3" t="s">
        <v>3224</v>
      </c>
      <c r="G1157" s="9">
        <v>651.76502000000005</v>
      </c>
      <c r="H1157" s="66">
        <v>19227.068090000001</v>
      </c>
      <c r="I1157" s="9">
        <v>747.34529949941304</v>
      </c>
      <c r="J1157" s="10">
        <v>1.1466483725981689</v>
      </c>
      <c r="K1157" s="66">
        <v>5048.1000774905278</v>
      </c>
      <c r="L1157" s="69">
        <v>24275.168167490527</v>
      </c>
      <c r="M1157" s="64">
        <v>607078.56695606164</v>
      </c>
      <c r="N1157" s="67">
        <v>12168.465940679116</v>
      </c>
      <c r="O1157" s="64">
        <f t="shared" si="36"/>
        <v>36443.634108169645</v>
      </c>
      <c r="P1157" s="64">
        <f t="shared" si="37"/>
        <v>55.915296141805278</v>
      </c>
    </row>
    <row r="1158" spans="1:16" ht="15">
      <c r="A1158" s="3" t="s">
        <v>135</v>
      </c>
      <c r="B1158" s="3" t="s">
        <v>1782</v>
      </c>
      <c r="C1158" s="61" t="s">
        <v>3294</v>
      </c>
      <c r="D1158" s="3" t="s">
        <v>1684</v>
      </c>
      <c r="E1158" s="3">
        <v>1</v>
      </c>
      <c r="F1158" s="3" t="s">
        <v>3266</v>
      </c>
      <c r="G1158" s="9">
        <v>167.19558499999999</v>
      </c>
      <c r="H1158" s="66">
        <v>4932.2697575000002</v>
      </c>
      <c r="I1158" s="9">
        <v>241.74714307138299</v>
      </c>
      <c r="J1158" s="10">
        <v>1.4458942984133403</v>
      </c>
      <c r="K1158" s="66">
        <v>3937.4620795024921</v>
      </c>
      <c r="L1158" s="69">
        <v>8869.7318370024914</v>
      </c>
      <c r="M1158" s="64">
        <v>0</v>
      </c>
      <c r="N1158" s="67">
        <v>0</v>
      </c>
      <c r="O1158" s="64">
        <f t="shared" si="36"/>
        <v>8869.7318370024914</v>
      </c>
      <c r="P1158" s="64">
        <f t="shared" si="37"/>
        <v>53.050036201628721</v>
      </c>
    </row>
    <row r="1159" spans="1:16" ht="15">
      <c r="A1159" s="3" t="s">
        <v>854</v>
      </c>
      <c r="B1159" s="3" t="s">
        <v>1693</v>
      </c>
      <c r="C1159" s="61" t="s">
        <v>3294</v>
      </c>
      <c r="D1159" s="3" t="s">
        <v>3248</v>
      </c>
      <c r="E1159" s="3">
        <v>1</v>
      </c>
      <c r="F1159" s="3" t="s">
        <v>1908</v>
      </c>
      <c r="G1159" s="9">
        <v>5264.3900759999997</v>
      </c>
      <c r="H1159" s="66">
        <v>155299.50724199999</v>
      </c>
      <c r="I1159" s="9">
        <v>7530.1821399357304</v>
      </c>
      <c r="J1159" s="10">
        <v>1.4303997293561745</v>
      </c>
      <c r="K1159" s="66">
        <v>119668.46250540239</v>
      </c>
      <c r="L1159" s="69">
        <v>274967.96974740236</v>
      </c>
      <c r="M1159" s="64">
        <v>5004969.4834258296</v>
      </c>
      <c r="N1159" s="67">
        <v>100321.11823445992</v>
      </c>
      <c r="O1159" s="64">
        <f t="shared" si="36"/>
        <v>375289.08798186225</v>
      </c>
      <c r="P1159" s="64">
        <f t="shared" si="37"/>
        <v>71.288237110844037</v>
      </c>
    </row>
    <row r="1160" spans="1:16" ht="15">
      <c r="A1160" s="3" t="s">
        <v>393</v>
      </c>
      <c r="B1160" s="3" t="s">
        <v>394</v>
      </c>
      <c r="C1160" s="61" t="s">
        <v>3294</v>
      </c>
      <c r="D1160" s="3" t="s">
        <v>1684</v>
      </c>
      <c r="E1160" s="3">
        <v>1</v>
      </c>
      <c r="F1160" s="3" t="s">
        <v>3266</v>
      </c>
      <c r="G1160" s="9">
        <v>340.82519300000001</v>
      </c>
      <c r="H1160" s="66">
        <v>10054.343193500001</v>
      </c>
      <c r="I1160" s="9">
        <v>431.19544490683103</v>
      </c>
      <c r="J1160" s="10">
        <v>1.2651513261428153</v>
      </c>
      <c r="K1160" s="66">
        <v>4772.930964870362</v>
      </c>
      <c r="L1160" s="69">
        <v>14827.274158370363</v>
      </c>
      <c r="M1160" s="64">
        <v>0</v>
      </c>
      <c r="N1160" s="67">
        <v>0</v>
      </c>
      <c r="O1160" s="64">
        <f t="shared" si="36"/>
        <v>14827.274158370363</v>
      </c>
      <c r="P1160" s="64">
        <f t="shared" si="37"/>
        <v>43.504043899625586</v>
      </c>
    </row>
    <row r="1161" spans="1:16" ht="15">
      <c r="A1161" s="3" t="s">
        <v>1330</v>
      </c>
      <c r="B1161" s="3" t="s">
        <v>1331</v>
      </c>
      <c r="C1161" s="61" t="s">
        <v>3297</v>
      </c>
      <c r="D1161" s="3" t="s">
        <v>3248</v>
      </c>
      <c r="E1161" s="3">
        <v>1</v>
      </c>
      <c r="F1161" s="3" t="s">
        <v>3223</v>
      </c>
      <c r="G1161" s="9">
        <v>1021.999854</v>
      </c>
      <c r="H1161" s="66">
        <v>30148.995693000001</v>
      </c>
      <c r="I1161" s="9">
        <v>1249.2147422712101</v>
      </c>
      <c r="J1161" s="10">
        <v>1.2223237971922549</v>
      </c>
      <c r="K1161" s="66">
        <v>12000.419972573331</v>
      </c>
      <c r="L1161" s="69">
        <v>42149.415665573331</v>
      </c>
      <c r="M1161" s="64">
        <v>1300394.8279134915</v>
      </c>
      <c r="N1161" s="67">
        <v>26065.506236272508</v>
      </c>
      <c r="O1161" s="64">
        <f t="shared" si="36"/>
        <v>68214.921901845839</v>
      </c>
      <c r="P1161" s="64">
        <f t="shared" si="37"/>
        <v>66.746508460700653</v>
      </c>
    </row>
    <row r="1162" spans="1:16" ht="15">
      <c r="A1162" s="3" t="s">
        <v>697</v>
      </c>
      <c r="B1162" s="3" t="s">
        <v>698</v>
      </c>
      <c r="C1162" s="61" t="s">
        <v>3297</v>
      </c>
      <c r="D1162" s="3" t="s">
        <v>3248</v>
      </c>
      <c r="E1162" s="3">
        <v>1</v>
      </c>
      <c r="F1162" s="3" t="s">
        <v>1909</v>
      </c>
      <c r="G1162" s="9">
        <v>4454.9966409999997</v>
      </c>
      <c r="H1162" s="66">
        <v>131422.40090949999</v>
      </c>
      <c r="I1162" s="9">
        <v>6311.5548208874197</v>
      </c>
      <c r="J1162" s="10">
        <v>1.4167361570604202</v>
      </c>
      <c r="K1162" s="66">
        <v>98054.656680648404</v>
      </c>
      <c r="L1162" s="69">
        <v>229477.05759014841</v>
      </c>
      <c r="M1162" s="64">
        <v>1322849.9331293355</v>
      </c>
      <c r="N1162" s="67">
        <v>26515.603139517552</v>
      </c>
      <c r="O1162" s="64">
        <f t="shared" si="36"/>
        <v>255992.66072966595</v>
      </c>
      <c r="P1162" s="64">
        <f t="shared" si="37"/>
        <v>57.461920032380554</v>
      </c>
    </row>
    <row r="1163" spans="1:16" ht="15">
      <c r="A1163" s="52" t="s">
        <v>3235</v>
      </c>
      <c r="B1163" s="52" t="s">
        <v>3236</v>
      </c>
      <c r="C1163" s="61" t="s">
        <v>3297</v>
      </c>
      <c r="D1163" s="3" t="s">
        <v>1684</v>
      </c>
      <c r="E1163" s="3">
        <v>1</v>
      </c>
      <c r="F1163" s="3" t="s">
        <v>3266</v>
      </c>
      <c r="G1163" s="9">
        <v>99.210000000000008</v>
      </c>
      <c r="H1163" s="66">
        <v>2926.6950000000002</v>
      </c>
      <c r="I1163" s="9">
        <v>122.33076400000002</v>
      </c>
      <c r="J1163" s="10">
        <v>1.2330487249269229</v>
      </c>
      <c r="K1163" s="66">
        <v>1221.1298308743389</v>
      </c>
      <c r="L1163" s="69">
        <v>4147.8248308743387</v>
      </c>
      <c r="M1163" s="64">
        <v>0</v>
      </c>
      <c r="N1163" s="67">
        <v>0</v>
      </c>
      <c r="O1163" s="64">
        <f t="shared" si="36"/>
        <v>4147.8248308743387</v>
      </c>
      <c r="P1163" s="64">
        <f t="shared" si="37"/>
        <v>41.808535741098055</v>
      </c>
    </row>
    <row r="1164" spans="1:16" ht="15">
      <c r="A1164" s="3" t="s">
        <v>1332</v>
      </c>
      <c r="B1164" s="3" t="s">
        <v>1333</v>
      </c>
      <c r="C1164" s="61" t="s">
        <v>3297</v>
      </c>
      <c r="D1164" s="3" t="s">
        <v>3248</v>
      </c>
      <c r="E1164" s="3">
        <v>1</v>
      </c>
      <c r="F1164" s="3" t="s">
        <v>1904</v>
      </c>
      <c r="G1164" s="9">
        <v>1307.4443040000001</v>
      </c>
      <c r="H1164" s="66">
        <v>38569.606968</v>
      </c>
      <c r="I1164" s="9">
        <v>1367.50472028947</v>
      </c>
      <c r="J1164" s="10">
        <v>1.0459372656301464</v>
      </c>
      <c r="K1164" s="66">
        <v>3172.1082394077789</v>
      </c>
      <c r="L1164" s="69">
        <v>41741.715207407782</v>
      </c>
      <c r="M1164" s="64">
        <v>1023890.335781684</v>
      </c>
      <c r="N1164" s="67">
        <v>20523.166779583702</v>
      </c>
      <c r="O1164" s="64">
        <f t="shared" si="36"/>
        <v>62264.881986991488</v>
      </c>
      <c r="P1164" s="64">
        <f t="shared" si="37"/>
        <v>47.623353282811415</v>
      </c>
    </row>
    <row r="1165" spans="1:16" ht="15">
      <c r="A1165" s="3" t="s">
        <v>1334</v>
      </c>
      <c r="B1165" s="3" t="s">
        <v>1877</v>
      </c>
      <c r="C1165" s="61" t="s">
        <v>3297</v>
      </c>
      <c r="D1165" s="3" t="s">
        <v>3248</v>
      </c>
      <c r="E1165" s="3">
        <v>1</v>
      </c>
      <c r="F1165" s="3" t="s">
        <v>3223</v>
      </c>
      <c r="G1165" s="9">
        <v>635.35834199999999</v>
      </c>
      <c r="H1165" s="66">
        <v>18743.071089000001</v>
      </c>
      <c r="I1165" s="9">
        <v>765.05992982272403</v>
      </c>
      <c r="J1165" s="10">
        <v>1.2041392695253603</v>
      </c>
      <c r="K1165" s="66">
        <v>6850.226835155454</v>
      </c>
      <c r="L1165" s="69">
        <v>25593.297924155457</v>
      </c>
      <c r="M1165" s="64">
        <v>712967.2170290536</v>
      </c>
      <c r="N1165" s="67">
        <v>14290.929987430662</v>
      </c>
      <c r="O1165" s="64">
        <f t="shared" si="36"/>
        <v>39884.227911586117</v>
      </c>
      <c r="P1165" s="64">
        <f t="shared" si="37"/>
        <v>62.774383013587816</v>
      </c>
    </row>
    <row r="1166" spans="1:16" ht="15">
      <c r="A1166" s="3" t="s">
        <v>1335</v>
      </c>
      <c r="B1166" s="3" t="s">
        <v>1336</v>
      </c>
      <c r="C1166" s="61" t="s">
        <v>3297</v>
      </c>
      <c r="D1166" s="3" t="s">
        <v>3248</v>
      </c>
      <c r="E1166" s="3">
        <v>1</v>
      </c>
      <c r="F1166" s="3" t="s">
        <v>1904</v>
      </c>
      <c r="G1166" s="9">
        <v>1948.569845</v>
      </c>
      <c r="H1166" s="66">
        <v>57482.810427500001</v>
      </c>
      <c r="I1166" s="9">
        <v>2254.3810076671998</v>
      </c>
      <c r="J1166" s="10">
        <v>1.1569413400560964</v>
      </c>
      <c r="K1166" s="66">
        <v>16151.50491338792</v>
      </c>
      <c r="L1166" s="69">
        <v>73634.315340887915</v>
      </c>
      <c r="M1166" s="64">
        <v>1724098.1409551217</v>
      </c>
      <c r="N1166" s="67">
        <v>34558.343266496864</v>
      </c>
      <c r="O1166" s="64">
        <f t="shared" si="36"/>
        <v>108192.65860738477</v>
      </c>
      <c r="P1166" s="64">
        <f t="shared" si="37"/>
        <v>55.524136784219181</v>
      </c>
    </row>
    <row r="1167" spans="1:16" ht="15">
      <c r="A1167" s="3" t="str">
        <f>"058032"</f>
        <v>058032</v>
      </c>
      <c r="B1167" s="3" t="s">
        <v>2689</v>
      </c>
      <c r="C1167" s="61" t="s">
        <v>3297</v>
      </c>
      <c r="D1167" s="3" t="s">
        <v>3249</v>
      </c>
      <c r="E1167" s="3">
        <v>1</v>
      </c>
      <c r="F1167" s="3" t="s">
        <v>3220</v>
      </c>
      <c r="G1167" s="9">
        <v>99</v>
      </c>
      <c r="H1167" s="66">
        <v>2920.5</v>
      </c>
      <c r="I1167" s="9">
        <v>112.58940000000001</v>
      </c>
      <c r="J1167" s="10">
        <v>1.1372666666666669</v>
      </c>
      <c r="K1167" s="66">
        <v>717.72808734537284</v>
      </c>
      <c r="L1167" s="69">
        <v>3638.2280873453728</v>
      </c>
      <c r="M1167" s="64">
        <v>0</v>
      </c>
      <c r="N1167" s="67">
        <v>0</v>
      </c>
      <c r="O1167" s="64">
        <f t="shared" si="36"/>
        <v>3638.2280873453728</v>
      </c>
      <c r="P1167" s="64">
        <f t="shared" si="37"/>
        <v>36.749778660054268</v>
      </c>
    </row>
    <row r="1168" spans="1:16" ht="15">
      <c r="A1168" s="3" t="s">
        <v>422</v>
      </c>
      <c r="B1168" s="61" t="s">
        <v>1841</v>
      </c>
      <c r="C1168" s="61" t="s">
        <v>3297</v>
      </c>
      <c r="D1168" s="3" t="s">
        <v>1684</v>
      </c>
      <c r="E1168" s="3">
        <v>1</v>
      </c>
      <c r="F1168" s="3" t="s">
        <v>3267</v>
      </c>
      <c r="G1168" s="9">
        <v>1823.264326</v>
      </c>
      <c r="H1168" s="66">
        <v>10757.2595234</v>
      </c>
      <c r="I1168" s="9">
        <v>2341.6061009405398</v>
      </c>
      <c r="J1168" s="10">
        <v>1.2842932686988469</v>
      </c>
      <c r="K1168" s="66">
        <v>0</v>
      </c>
      <c r="L1168" s="69">
        <v>10757.2595234</v>
      </c>
      <c r="M1168" s="64">
        <v>0</v>
      </c>
      <c r="N1168" s="67">
        <v>0</v>
      </c>
      <c r="O1168" s="64">
        <f t="shared" si="36"/>
        <v>10757.2595234</v>
      </c>
      <c r="P1168" s="64">
        <f t="shared" si="37"/>
        <v>5.9</v>
      </c>
    </row>
    <row r="1169" spans="1:16" ht="15">
      <c r="A1169" s="3" t="s">
        <v>541</v>
      </c>
      <c r="B1169" s="3" t="s">
        <v>542</v>
      </c>
      <c r="C1169" s="61" t="s">
        <v>3297</v>
      </c>
      <c r="D1169" s="3" t="s">
        <v>456</v>
      </c>
      <c r="E1169" s="3">
        <v>1</v>
      </c>
      <c r="F1169" s="3" t="s">
        <v>1897</v>
      </c>
      <c r="G1169" s="9">
        <v>505.18934999999999</v>
      </c>
      <c r="H1169" s="66">
        <v>14903.085825</v>
      </c>
      <c r="I1169" s="9">
        <v>622.63457097785499</v>
      </c>
      <c r="J1169" s="10">
        <v>1.2324776264144424</v>
      </c>
      <c r="K1169" s="66">
        <v>6202.9032790476731</v>
      </c>
      <c r="L1169" s="69">
        <v>21105.989104047672</v>
      </c>
      <c r="M1169" s="64">
        <v>0</v>
      </c>
      <c r="N1169" s="67">
        <v>0</v>
      </c>
      <c r="O1169" s="64">
        <f t="shared" si="36"/>
        <v>21105.989104047672</v>
      </c>
      <c r="P1169" s="64">
        <f t="shared" si="37"/>
        <v>41.778373008155604</v>
      </c>
    </row>
    <row r="1170" spans="1:16" ht="15">
      <c r="A1170" s="3" t="s">
        <v>1337</v>
      </c>
      <c r="B1170" s="3" t="s">
        <v>1338</v>
      </c>
      <c r="C1170" s="61" t="s">
        <v>3289</v>
      </c>
      <c r="D1170" s="3" t="s">
        <v>3248</v>
      </c>
      <c r="E1170" s="3">
        <v>1</v>
      </c>
      <c r="F1170" s="3" t="s">
        <v>3224</v>
      </c>
      <c r="G1170" s="9">
        <v>1127.4712790000001</v>
      </c>
      <c r="H1170" s="66">
        <v>33260.402730500005</v>
      </c>
      <c r="I1170" s="9">
        <v>1357.0070242398899</v>
      </c>
      <c r="J1170" s="10">
        <v>1.2035845608798783</v>
      </c>
      <c r="K1170" s="66">
        <v>12122.996703932529</v>
      </c>
      <c r="L1170" s="69">
        <v>45383.399434432533</v>
      </c>
      <c r="M1170" s="64">
        <v>1503030.6238003557</v>
      </c>
      <c r="N1170" s="67">
        <v>30127.199260579488</v>
      </c>
      <c r="O1170" s="64">
        <f t="shared" si="36"/>
        <v>75510.598695012013</v>
      </c>
      <c r="P1170" s="64">
        <f t="shared" si="37"/>
        <v>66.973412184818955</v>
      </c>
    </row>
    <row r="1171" spans="1:16" ht="15">
      <c r="A1171" s="3" t="s">
        <v>579</v>
      </c>
      <c r="B1171" s="3" t="s">
        <v>580</v>
      </c>
      <c r="C1171" s="61" t="s">
        <v>3289</v>
      </c>
      <c r="D1171" s="3" t="s">
        <v>3248</v>
      </c>
      <c r="E1171" s="3">
        <v>1</v>
      </c>
      <c r="F1171" s="3" t="s">
        <v>1906</v>
      </c>
      <c r="G1171" s="9">
        <v>6829.6681470000003</v>
      </c>
      <c r="H1171" s="66">
        <v>201475.21033650002</v>
      </c>
      <c r="I1171" s="9">
        <v>7842.1208079967901</v>
      </c>
      <c r="J1171" s="10">
        <v>1.1482433171283029</v>
      </c>
      <c r="K1171" s="66">
        <v>53472.979815514911</v>
      </c>
      <c r="L1171" s="69">
        <v>254948.19015201493</v>
      </c>
      <c r="M1171" s="64">
        <v>3999809.7226821058</v>
      </c>
      <c r="N1171" s="67">
        <v>80173.392751612453</v>
      </c>
      <c r="O1171" s="64">
        <f t="shared" si="36"/>
        <v>335121.58290362736</v>
      </c>
      <c r="P1171" s="64">
        <f t="shared" si="37"/>
        <v>49.068501673955105</v>
      </c>
    </row>
    <row r="1172" spans="1:16" ht="15">
      <c r="A1172" s="3" t="s">
        <v>1339</v>
      </c>
      <c r="B1172" s="3" t="s">
        <v>1872</v>
      </c>
      <c r="C1172" s="61" t="s">
        <v>3289</v>
      </c>
      <c r="D1172" s="3" t="s">
        <v>3248</v>
      </c>
      <c r="E1172" s="3">
        <v>1</v>
      </c>
      <c r="F1172" s="3" t="s">
        <v>1904</v>
      </c>
      <c r="G1172" s="9">
        <v>2267.5002039999999</v>
      </c>
      <c r="H1172" s="66">
        <v>66891.256018</v>
      </c>
      <c r="I1172" s="9">
        <v>2590.3453812489001</v>
      </c>
      <c r="J1172" s="10">
        <v>1.142379337686225</v>
      </c>
      <c r="K1172" s="66">
        <v>17051.161315108158</v>
      </c>
      <c r="L1172" s="69">
        <v>83942.417333108155</v>
      </c>
      <c r="M1172" s="64">
        <v>1656468.6816972897</v>
      </c>
      <c r="N1172" s="67">
        <v>33202.757982549534</v>
      </c>
      <c r="O1172" s="64">
        <f t="shared" si="36"/>
        <v>117145.17531565769</v>
      </c>
      <c r="P1172" s="64">
        <f t="shared" si="37"/>
        <v>51.662696704065077</v>
      </c>
    </row>
    <row r="1173" spans="1:16" ht="15">
      <c r="A1173" s="3" t="s">
        <v>1340</v>
      </c>
      <c r="B1173" s="3" t="s">
        <v>1341</v>
      </c>
      <c r="C1173" s="61" t="s">
        <v>3289</v>
      </c>
      <c r="D1173" s="3" t="s">
        <v>3248</v>
      </c>
      <c r="E1173" s="3">
        <v>1</v>
      </c>
      <c r="F1173" s="3" t="s">
        <v>1904</v>
      </c>
      <c r="G1173" s="9">
        <v>2257.186733</v>
      </c>
      <c r="H1173" s="66">
        <v>66587.008623500005</v>
      </c>
      <c r="I1173" s="9">
        <v>2673.95812537452</v>
      </c>
      <c r="J1173" s="10">
        <v>1.1846419643892705</v>
      </c>
      <c r="K1173" s="66">
        <v>22011.901504792844</v>
      </c>
      <c r="L1173" s="69">
        <v>88598.910128292846</v>
      </c>
      <c r="M1173" s="64">
        <v>2498052.4045721721</v>
      </c>
      <c r="N1173" s="67">
        <v>50071.716014425052</v>
      </c>
      <c r="O1173" s="64">
        <f t="shared" si="36"/>
        <v>138670.6261427179</v>
      </c>
      <c r="P1173" s="64">
        <f t="shared" si="37"/>
        <v>61.4351591365294</v>
      </c>
    </row>
    <row r="1174" spans="1:16" ht="15">
      <c r="A1174" s="3" t="s">
        <v>1342</v>
      </c>
      <c r="B1174" s="3" t="s">
        <v>1343</v>
      </c>
      <c r="C1174" s="61" t="s">
        <v>3289</v>
      </c>
      <c r="D1174" s="3" t="s">
        <v>3248</v>
      </c>
      <c r="E1174" s="3">
        <v>1</v>
      </c>
      <c r="F1174" s="3" t="s">
        <v>1907</v>
      </c>
      <c r="G1174" s="9">
        <v>3224.3680319999999</v>
      </c>
      <c r="H1174" s="66">
        <v>95118.856943999999</v>
      </c>
      <c r="I1174" s="9">
        <v>3704.8131680546799</v>
      </c>
      <c r="J1174" s="10">
        <v>1.1490044347563735</v>
      </c>
      <c r="K1174" s="66">
        <v>25374.848674327979</v>
      </c>
      <c r="L1174" s="69">
        <v>120493.70561832798</v>
      </c>
      <c r="M1174" s="64">
        <v>2729704.8562317132</v>
      </c>
      <c r="N1174" s="67">
        <v>54715.027640839238</v>
      </c>
      <c r="O1174" s="64">
        <f t="shared" si="36"/>
        <v>175208.73325916723</v>
      </c>
      <c r="P1174" s="64">
        <f t="shared" si="37"/>
        <v>54.338937590349872</v>
      </c>
    </row>
    <row r="1175" spans="1:16" ht="15">
      <c r="A1175" s="3" t="str">
        <f>"089979"</f>
        <v>089979</v>
      </c>
      <c r="B1175" s="3" t="s">
        <v>2677</v>
      </c>
      <c r="C1175" s="61" t="s">
        <v>3289</v>
      </c>
      <c r="D1175" s="3" t="s">
        <v>3249</v>
      </c>
      <c r="E1175" s="3">
        <v>1</v>
      </c>
      <c r="F1175" s="3" t="s">
        <v>3220</v>
      </c>
      <c r="G1175" s="9">
        <v>206</v>
      </c>
      <c r="H1175" s="66">
        <v>6077</v>
      </c>
      <c r="I1175" s="9">
        <v>208.9496</v>
      </c>
      <c r="J1175" s="10">
        <v>1.0143184466019417</v>
      </c>
      <c r="K1175" s="66">
        <v>155.78397621925271</v>
      </c>
      <c r="L1175" s="69">
        <v>6232.7839762192525</v>
      </c>
      <c r="M1175" s="64">
        <v>0</v>
      </c>
      <c r="N1175" s="67">
        <v>0</v>
      </c>
      <c r="O1175" s="64">
        <f t="shared" si="36"/>
        <v>6232.7839762192525</v>
      </c>
      <c r="P1175" s="64">
        <f t="shared" si="37"/>
        <v>30.256232894268216</v>
      </c>
    </row>
    <row r="1176" spans="1:16" ht="15">
      <c r="A1176" s="3" t="s">
        <v>707</v>
      </c>
      <c r="B1176" s="3" t="s">
        <v>1858</v>
      </c>
      <c r="C1176" s="61" t="s">
        <v>3289</v>
      </c>
      <c r="D1176" s="3" t="s">
        <v>3248</v>
      </c>
      <c r="E1176" s="3">
        <v>1</v>
      </c>
      <c r="F1176" s="3" t="s">
        <v>1906</v>
      </c>
      <c r="G1176" s="9">
        <v>6610.1999180000003</v>
      </c>
      <c r="H1176" s="66">
        <v>195000.897581</v>
      </c>
      <c r="I1176" s="9">
        <v>7770.6408551821296</v>
      </c>
      <c r="J1176" s="10">
        <v>1.1755530773013647</v>
      </c>
      <c r="K1176" s="66">
        <v>61289.023380060993</v>
      </c>
      <c r="L1176" s="69">
        <v>256289.920961061</v>
      </c>
      <c r="M1176" s="64">
        <v>3052137.5173362442</v>
      </c>
      <c r="N1176" s="67">
        <v>61177.965172114309</v>
      </c>
      <c r="O1176" s="64">
        <f t="shared" si="36"/>
        <v>317467.88613317529</v>
      </c>
      <c r="P1176" s="64">
        <f t="shared" si="37"/>
        <v>48.026971963236662</v>
      </c>
    </row>
    <row r="1177" spans="1:16" ht="15">
      <c r="A1177" s="19">
        <v>66134</v>
      </c>
      <c r="B1177" s="20" t="s">
        <v>1940</v>
      </c>
      <c r="C1177" s="61" t="s">
        <v>3289</v>
      </c>
      <c r="D1177" s="19" t="s">
        <v>1973</v>
      </c>
      <c r="E1177" s="19">
        <v>1</v>
      </c>
      <c r="F1177" s="19" t="s">
        <v>1974</v>
      </c>
      <c r="G1177" s="9">
        <v>32.36</v>
      </c>
      <c r="H1177" s="66">
        <v>954.62</v>
      </c>
      <c r="I1177" s="9">
        <v>155.597093</v>
      </c>
      <c r="J1177" s="10">
        <v>4.8083156056860323</v>
      </c>
      <c r="K1177" s="66">
        <v>6508.8026733258093</v>
      </c>
      <c r="L1177" s="69">
        <v>7463.4226733258092</v>
      </c>
      <c r="M1177" s="64">
        <v>0</v>
      </c>
      <c r="N1177" s="67">
        <v>0</v>
      </c>
      <c r="O1177" s="64">
        <f t="shared" si="36"/>
        <v>7463.4226733258092</v>
      </c>
      <c r="P1177" s="64">
        <f t="shared" si="37"/>
        <v>230.63728903973453</v>
      </c>
    </row>
    <row r="1178" spans="1:16" ht="15">
      <c r="A1178" s="3" t="s">
        <v>530</v>
      </c>
      <c r="B1178" s="3" t="s">
        <v>531</v>
      </c>
      <c r="C1178" s="61" t="s">
        <v>3289</v>
      </c>
      <c r="D1178" s="3" t="s">
        <v>456</v>
      </c>
      <c r="E1178" s="3">
        <v>1</v>
      </c>
      <c r="F1178" s="3" t="s">
        <v>1897</v>
      </c>
      <c r="G1178" s="9">
        <v>1108.9327880000001</v>
      </c>
      <c r="H1178" s="66">
        <v>32713.517246000003</v>
      </c>
      <c r="I1178" s="9">
        <v>1306.27213044005</v>
      </c>
      <c r="J1178" s="10">
        <v>1.1779542859364438</v>
      </c>
      <c r="K1178" s="66">
        <v>10422.534387647023</v>
      </c>
      <c r="L1178" s="69">
        <v>43136.051633647025</v>
      </c>
      <c r="M1178" s="64">
        <v>0</v>
      </c>
      <c r="N1178" s="67">
        <v>0</v>
      </c>
      <c r="O1178" s="64">
        <f t="shared" si="36"/>
        <v>43136.051633647025</v>
      </c>
      <c r="P1178" s="64">
        <f t="shared" si="37"/>
        <v>38.898707027541711</v>
      </c>
    </row>
    <row r="1179" spans="1:16" ht="15">
      <c r="A1179" s="3" t="str">
        <f>"010210"</f>
        <v>010210</v>
      </c>
      <c r="B1179" s="3" t="s">
        <v>2697</v>
      </c>
      <c r="C1179" s="61" t="s">
        <v>3289</v>
      </c>
      <c r="D1179" s="3" t="s">
        <v>3249</v>
      </c>
      <c r="E1179" s="3">
        <v>1</v>
      </c>
      <c r="F1179" s="3" t="s">
        <v>3220</v>
      </c>
      <c r="G1179" s="9">
        <v>128</v>
      </c>
      <c r="H1179" s="66">
        <v>3776</v>
      </c>
      <c r="I1179" s="9">
        <v>132.42439999999999</v>
      </c>
      <c r="J1179" s="10">
        <v>1.0345656249999999</v>
      </c>
      <c r="K1179" s="66">
        <v>233.67596432887828</v>
      </c>
      <c r="L1179" s="69">
        <v>4009.6759643288783</v>
      </c>
      <c r="M1179" s="64">
        <v>0</v>
      </c>
      <c r="N1179" s="67">
        <v>0</v>
      </c>
      <c r="O1179" s="64">
        <f t="shared" si="36"/>
        <v>4009.6759643288783</v>
      </c>
      <c r="P1179" s="64">
        <f t="shared" si="37"/>
        <v>31.325593471319362</v>
      </c>
    </row>
    <row r="1180" spans="1:16" ht="15">
      <c r="A1180" s="3" t="str">
        <f>"097527"</f>
        <v>097527</v>
      </c>
      <c r="B1180" s="3" t="s">
        <v>3091</v>
      </c>
      <c r="C1180" s="61" t="s">
        <v>3289</v>
      </c>
      <c r="D1180" s="3" t="s">
        <v>3249</v>
      </c>
      <c r="E1180" s="3">
        <v>1</v>
      </c>
      <c r="F1180" s="3" t="s">
        <v>3220</v>
      </c>
      <c r="G1180" s="9">
        <v>16</v>
      </c>
      <c r="H1180" s="66">
        <v>472</v>
      </c>
      <c r="I1180" s="9">
        <v>16</v>
      </c>
      <c r="J1180" s="10">
        <v>1</v>
      </c>
      <c r="K1180" s="66">
        <v>0</v>
      </c>
      <c r="L1180" s="69">
        <v>472</v>
      </c>
      <c r="M1180" s="64">
        <v>0</v>
      </c>
      <c r="N1180" s="67">
        <v>0</v>
      </c>
      <c r="O1180" s="64">
        <f t="shared" si="36"/>
        <v>472</v>
      </c>
      <c r="P1180" s="64">
        <f t="shared" si="37"/>
        <v>29.5</v>
      </c>
    </row>
    <row r="1181" spans="1:16" ht="15">
      <c r="A1181" s="3" t="str">
        <f>"057521"</f>
        <v>057521</v>
      </c>
      <c r="B1181" s="3" t="s">
        <v>2904</v>
      </c>
      <c r="C1181" s="61" t="s">
        <v>3289</v>
      </c>
      <c r="D1181" s="3" t="s">
        <v>3249</v>
      </c>
      <c r="E1181" s="3">
        <v>1</v>
      </c>
      <c r="F1181" s="3" t="s">
        <v>3220</v>
      </c>
      <c r="G1181" s="9">
        <v>250</v>
      </c>
      <c r="H1181" s="66">
        <v>7375</v>
      </c>
      <c r="I1181" s="9">
        <v>279.30900000000003</v>
      </c>
      <c r="J1181" s="10">
        <v>1.1172360000000001</v>
      </c>
      <c r="K1181" s="66">
        <v>1547.9633031631663</v>
      </c>
      <c r="L1181" s="69">
        <v>8922.9633031631656</v>
      </c>
      <c r="M1181" s="64">
        <v>0</v>
      </c>
      <c r="N1181" s="67">
        <v>0</v>
      </c>
      <c r="O1181" s="64">
        <f t="shared" si="36"/>
        <v>8922.9633031631656</v>
      </c>
      <c r="P1181" s="64">
        <f t="shared" si="37"/>
        <v>35.69185321265266</v>
      </c>
    </row>
    <row r="1182" spans="1:16" ht="15">
      <c r="A1182" s="3" t="str">
        <f>"057208"</f>
        <v>057208</v>
      </c>
      <c r="B1182" s="3" t="s">
        <v>2954</v>
      </c>
      <c r="C1182" s="61" t="s">
        <v>3289</v>
      </c>
      <c r="D1182" s="3" t="s">
        <v>3249</v>
      </c>
      <c r="E1182" s="3">
        <v>1</v>
      </c>
      <c r="F1182" s="3" t="s">
        <v>3220</v>
      </c>
      <c r="G1182" s="9">
        <v>475</v>
      </c>
      <c r="H1182" s="66">
        <v>14012.5</v>
      </c>
      <c r="I1182" s="9">
        <v>492.73859999999996</v>
      </c>
      <c r="J1182" s="10">
        <v>1.0373444210526315</v>
      </c>
      <c r="K1182" s="66">
        <v>936.86928416152239</v>
      </c>
      <c r="L1182" s="69">
        <v>14949.369284161523</v>
      </c>
      <c r="M1182" s="64">
        <v>0</v>
      </c>
      <c r="N1182" s="67">
        <v>0</v>
      </c>
      <c r="O1182" s="64">
        <f t="shared" si="36"/>
        <v>14949.369284161523</v>
      </c>
      <c r="P1182" s="64">
        <f t="shared" si="37"/>
        <v>31.472356387708469</v>
      </c>
    </row>
    <row r="1183" spans="1:16" ht="15">
      <c r="A1183" s="3" t="str">
        <f>"060954"</f>
        <v>060954</v>
      </c>
      <c r="B1183" s="3" t="s">
        <v>3012</v>
      </c>
      <c r="C1183" s="61" t="s">
        <v>3289</v>
      </c>
      <c r="D1183" s="3" t="s">
        <v>3249</v>
      </c>
      <c r="E1183" s="3">
        <v>1</v>
      </c>
      <c r="F1183" s="3" t="s">
        <v>3220</v>
      </c>
      <c r="G1183" s="9">
        <v>406</v>
      </c>
      <c r="H1183" s="66">
        <v>11977</v>
      </c>
      <c r="I1183" s="9">
        <v>447.23359999999997</v>
      </c>
      <c r="J1183" s="10">
        <v>1.1015605911330049</v>
      </c>
      <c r="K1183" s="66">
        <v>2177.7644975027679</v>
      </c>
      <c r="L1183" s="69">
        <v>14154.764497502769</v>
      </c>
      <c r="M1183" s="64">
        <v>0</v>
      </c>
      <c r="N1183" s="67">
        <v>0</v>
      </c>
      <c r="O1183" s="64">
        <f t="shared" si="36"/>
        <v>14154.764497502769</v>
      </c>
      <c r="P1183" s="64">
        <f t="shared" si="37"/>
        <v>34.863951964292532</v>
      </c>
    </row>
    <row r="1184" spans="1:16" ht="15">
      <c r="A1184" s="3" t="s">
        <v>818</v>
      </c>
      <c r="B1184" s="3" t="s">
        <v>1860</v>
      </c>
      <c r="C1184" s="61" t="s">
        <v>3289</v>
      </c>
      <c r="D1184" s="3" t="s">
        <v>3248</v>
      </c>
      <c r="E1184" s="3">
        <v>1</v>
      </c>
      <c r="F1184" s="3" t="s">
        <v>1906</v>
      </c>
      <c r="G1184" s="9">
        <v>4562.8619959999996</v>
      </c>
      <c r="H1184" s="66">
        <v>134604.42888199998</v>
      </c>
      <c r="I1184" s="9">
        <v>5332.4122602290099</v>
      </c>
      <c r="J1184" s="10">
        <v>1.1686551696947292</v>
      </c>
      <c r="K1184" s="66">
        <v>40644.019549149583</v>
      </c>
      <c r="L1184" s="69">
        <v>175248.44843114956</v>
      </c>
      <c r="M1184" s="64">
        <v>1915433.8514987696</v>
      </c>
      <c r="N1184" s="67">
        <v>38393.533971153272</v>
      </c>
      <c r="O1184" s="64">
        <f t="shared" si="36"/>
        <v>213641.98240230285</v>
      </c>
      <c r="P1184" s="64">
        <f t="shared" si="37"/>
        <v>46.821925052651288</v>
      </c>
    </row>
    <row r="1185" spans="1:16" ht="15">
      <c r="A1185" s="3" t="s">
        <v>1344</v>
      </c>
      <c r="B1185" s="3" t="s">
        <v>1001</v>
      </c>
      <c r="C1185" s="61" t="s">
        <v>3350</v>
      </c>
      <c r="D1185" s="3" t="s">
        <v>3248</v>
      </c>
      <c r="E1185" s="3">
        <v>1</v>
      </c>
      <c r="F1185" s="3" t="s">
        <v>3224</v>
      </c>
      <c r="G1185" s="9">
        <v>794.95545300000003</v>
      </c>
      <c r="H1185" s="66">
        <v>23451.185863500003</v>
      </c>
      <c r="I1185" s="9">
        <v>935.10827143788094</v>
      </c>
      <c r="J1185" s="10">
        <v>1.1763027323216322</v>
      </c>
      <c r="K1185" s="66">
        <v>7402.2115997382871</v>
      </c>
      <c r="L1185" s="69">
        <v>30853.397463238289</v>
      </c>
      <c r="M1185" s="64">
        <v>626574.77080618753</v>
      </c>
      <c r="N1185" s="67">
        <v>12559.253732302741</v>
      </c>
      <c r="O1185" s="64">
        <f t="shared" si="36"/>
        <v>43412.651195541031</v>
      </c>
      <c r="P1185" s="64">
        <f t="shared" si="37"/>
        <v>54.610168446182143</v>
      </c>
    </row>
    <row r="1186" spans="1:16" ht="15">
      <c r="A1186" s="19">
        <v>85662</v>
      </c>
      <c r="B1186" s="20" t="s">
        <v>1912</v>
      </c>
      <c r="C1186" s="61" t="s">
        <v>3350</v>
      </c>
      <c r="D1186" s="19" t="s">
        <v>1973</v>
      </c>
      <c r="E1186" s="19">
        <v>1</v>
      </c>
      <c r="F1186" s="19" t="s">
        <v>1974</v>
      </c>
      <c r="G1186" s="9">
        <v>12.510000000000002</v>
      </c>
      <c r="H1186" s="66">
        <v>369.04500000000007</v>
      </c>
      <c r="I1186" s="9">
        <v>64.351529999999997</v>
      </c>
      <c r="J1186" s="10">
        <v>5.1440071942446037</v>
      </c>
      <c r="K1186" s="66">
        <v>2738.0253853707832</v>
      </c>
      <c r="L1186" s="69">
        <v>3107.0703853707832</v>
      </c>
      <c r="M1186" s="64">
        <v>0</v>
      </c>
      <c r="N1186" s="67">
        <v>0</v>
      </c>
      <c r="O1186" s="64">
        <f t="shared" si="36"/>
        <v>3107.0703853707832</v>
      </c>
      <c r="P1186" s="64">
        <f t="shared" si="37"/>
        <v>248.36693727983877</v>
      </c>
    </row>
    <row r="1187" spans="1:16" ht="15">
      <c r="A1187" s="3" t="s">
        <v>1345</v>
      </c>
      <c r="B1187" s="3" t="s">
        <v>1346</v>
      </c>
      <c r="C1187" s="61" t="s">
        <v>3350</v>
      </c>
      <c r="D1187" s="3" t="s">
        <v>3248</v>
      </c>
      <c r="E1187" s="3">
        <v>1</v>
      </c>
      <c r="F1187" s="3" t="s">
        <v>3223</v>
      </c>
      <c r="G1187" s="9">
        <v>1726.752941</v>
      </c>
      <c r="H1187" s="66">
        <v>50939.211759500002</v>
      </c>
      <c r="I1187" s="9">
        <v>2401.4126683033801</v>
      </c>
      <c r="J1187" s="10">
        <v>1.3907100496453593</v>
      </c>
      <c r="K1187" s="66">
        <v>35632.348424978685</v>
      </c>
      <c r="L1187" s="69">
        <v>86571.560184478687</v>
      </c>
      <c r="M1187" s="64">
        <v>2062227.3813104948</v>
      </c>
      <c r="N1187" s="67">
        <v>41335.907767649573</v>
      </c>
      <c r="O1187" s="64">
        <f t="shared" si="36"/>
        <v>127907.46795212827</v>
      </c>
      <c r="P1187" s="64">
        <f t="shared" si="37"/>
        <v>74.073982974109938</v>
      </c>
    </row>
    <row r="1188" spans="1:16" ht="15">
      <c r="A1188" s="3" t="s">
        <v>1347</v>
      </c>
      <c r="B1188" s="3" t="s">
        <v>1067</v>
      </c>
      <c r="C1188" s="61" t="s">
        <v>3350</v>
      </c>
      <c r="D1188" s="3" t="s">
        <v>3248</v>
      </c>
      <c r="E1188" s="3">
        <v>1</v>
      </c>
      <c r="F1188" s="3" t="s">
        <v>3223</v>
      </c>
      <c r="G1188" s="9">
        <v>724.23572999999999</v>
      </c>
      <c r="H1188" s="66">
        <v>21364.954034999999</v>
      </c>
      <c r="I1188" s="9">
        <v>899.41344774991001</v>
      </c>
      <c r="J1188" s="10">
        <v>1.2418794192188087</v>
      </c>
      <c r="K1188" s="66">
        <v>9252.0617765442457</v>
      </c>
      <c r="L1188" s="69">
        <v>30617.015811544246</v>
      </c>
      <c r="M1188" s="64">
        <v>614277.7056575889</v>
      </c>
      <c r="N1188" s="67">
        <v>12312.767648662326</v>
      </c>
      <c r="O1188" s="64">
        <f t="shared" si="36"/>
        <v>42929.78346020657</v>
      </c>
      <c r="P1188" s="64">
        <f t="shared" si="37"/>
        <v>59.275981123171832</v>
      </c>
    </row>
    <row r="1189" spans="1:16" ht="15">
      <c r="A1189" s="3" t="s">
        <v>591</v>
      </c>
      <c r="B1189" s="3" t="s">
        <v>592</v>
      </c>
      <c r="C1189" s="61" t="s">
        <v>3319</v>
      </c>
      <c r="D1189" s="3" t="s">
        <v>3248</v>
      </c>
      <c r="E1189" s="3">
        <v>1</v>
      </c>
      <c r="F1189" s="3" t="s">
        <v>1905</v>
      </c>
      <c r="G1189" s="9">
        <v>2667.4271180000001</v>
      </c>
      <c r="H1189" s="66">
        <v>78689.099981000007</v>
      </c>
      <c r="I1189" s="9">
        <v>3264.6638358619598</v>
      </c>
      <c r="J1189" s="10">
        <v>1.223899919826023</v>
      </c>
      <c r="K1189" s="66">
        <v>31543.229811727673</v>
      </c>
      <c r="L1189" s="69">
        <v>110232.32979272769</v>
      </c>
      <c r="M1189" s="64">
        <v>1679433.8845690908</v>
      </c>
      <c r="N1189" s="67">
        <v>33663.079437097811</v>
      </c>
      <c r="O1189" s="64">
        <f t="shared" si="36"/>
        <v>143895.40922982548</v>
      </c>
      <c r="P1189" s="64">
        <f t="shared" si="37"/>
        <v>53.945394893381852</v>
      </c>
    </row>
    <row r="1190" spans="1:16" ht="15">
      <c r="A1190" s="3" t="s">
        <v>882</v>
      </c>
      <c r="B1190" s="3" t="s">
        <v>883</v>
      </c>
      <c r="C1190" s="61" t="s">
        <v>3319</v>
      </c>
      <c r="D1190" s="3" t="s">
        <v>3248</v>
      </c>
      <c r="E1190" s="3">
        <v>1</v>
      </c>
      <c r="F1190" s="3" t="s">
        <v>1904</v>
      </c>
      <c r="G1190" s="9">
        <v>1326.5219750000001</v>
      </c>
      <c r="H1190" s="66">
        <v>39132.398262500006</v>
      </c>
      <c r="I1190" s="9">
        <v>1485.7452711419801</v>
      </c>
      <c r="J1190" s="10">
        <v>1.1200306509373732</v>
      </c>
      <c r="K1190" s="66">
        <v>8409.4243896573116</v>
      </c>
      <c r="L1190" s="69">
        <v>47541.822652157316</v>
      </c>
      <c r="M1190" s="64">
        <v>440782.4454184944</v>
      </c>
      <c r="N1190" s="67">
        <v>8835.1763120512278</v>
      </c>
      <c r="O1190" s="64">
        <f t="shared" si="36"/>
        <v>56376.998964208542</v>
      </c>
      <c r="P1190" s="64">
        <f t="shared" si="37"/>
        <v>42.49986055768774</v>
      </c>
    </row>
    <row r="1191" spans="1:16" ht="15">
      <c r="A1191" s="3" t="s">
        <v>1354</v>
      </c>
      <c r="B1191" s="3" t="s">
        <v>1355</v>
      </c>
      <c r="C1191" s="61" t="s">
        <v>3319</v>
      </c>
      <c r="D1191" s="3" t="s">
        <v>3248</v>
      </c>
      <c r="E1191" s="3">
        <v>1</v>
      </c>
      <c r="F1191" s="3" t="s">
        <v>3224</v>
      </c>
      <c r="G1191" s="9">
        <v>998.75383399999998</v>
      </c>
      <c r="H1191" s="66">
        <v>29463.238103</v>
      </c>
      <c r="I1191" s="9">
        <v>1119.5260569885299</v>
      </c>
      <c r="J1191" s="10">
        <v>1.1209229130113456</v>
      </c>
      <c r="K1191" s="66">
        <v>6378.6198515023762</v>
      </c>
      <c r="L1191" s="69">
        <v>35841.857954502375</v>
      </c>
      <c r="M1191" s="64">
        <v>484988.92084390548</v>
      </c>
      <c r="N1191" s="67">
        <v>9721.2642417713942</v>
      </c>
      <c r="O1191" s="64">
        <f t="shared" si="36"/>
        <v>45563.122196273769</v>
      </c>
      <c r="P1191" s="64">
        <f t="shared" si="37"/>
        <v>45.619972254618418</v>
      </c>
    </row>
    <row r="1192" spans="1:16" ht="15">
      <c r="A1192" s="3" t="str">
        <f>"054411"</f>
        <v>054411</v>
      </c>
      <c r="B1192" s="3" t="s">
        <v>2671</v>
      </c>
      <c r="C1192" s="61" t="s">
        <v>3319</v>
      </c>
      <c r="D1192" s="3" t="s">
        <v>3249</v>
      </c>
      <c r="E1192" s="3">
        <v>1</v>
      </c>
      <c r="F1192" s="3" t="s">
        <v>3220</v>
      </c>
      <c r="G1192" s="9">
        <v>127</v>
      </c>
      <c r="H1192" s="66">
        <v>3746.5</v>
      </c>
      <c r="I1192" s="9">
        <v>145.22280000000001</v>
      </c>
      <c r="J1192" s="10">
        <v>1.1434866141732285</v>
      </c>
      <c r="K1192" s="66">
        <v>962.44244706000654</v>
      </c>
      <c r="L1192" s="69">
        <v>4708.9424470600061</v>
      </c>
      <c r="M1192" s="64">
        <v>0</v>
      </c>
      <c r="N1192" s="67">
        <v>0</v>
      </c>
      <c r="O1192" s="64">
        <f t="shared" si="36"/>
        <v>4708.9424470600061</v>
      </c>
      <c r="P1192" s="64">
        <f t="shared" si="37"/>
        <v>37.078286984724457</v>
      </c>
    </row>
    <row r="1193" spans="1:16" ht="15">
      <c r="A1193" s="3" t="s">
        <v>1348</v>
      </c>
      <c r="B1193" s="3" t="s">
        <v>1349</v>
      </c>
      <c r="C1193" s="61" t="s">
        <v>3319</v>
      </c>
      <c r="D1193" s="3" t="s">
        <v>3248</v>
      </c>
      <c r="E1193" s="3">
        <v>1</v>
      </c>
      <c r="F1193" s="3" t="s">
        <v>3224</v>
      </c>
      <c r="G1193" s="9">
        <v>836.380088</v>
      </c>
      <c r="H1193" s="66">
        <v>24673.212596000001</v>
      </c>
      <c r="I1193" s="9">
        <v>922.742085705676</v>
      </c>
      <c r="J1193" s="10">
        <v>1.1032568791925568</v>
      </c>
      <c r="K1193" s="66">
        <v>4561.2338611432633</v>
      </c>
      <c r="L1193" s="69">
        <v>29234.446457143265</v>
      </c>
      <c r="M1193" s="64">
        <v>534864.31722828373</v>
      </c>
      <c r="N1193" s="67">
        <v>10720.981733403911</v>
      </c>
      <c r="O1193" s="64">
        <f t="shared" si="36"/>
        <v>39955.428190547173</v>
      </c>
      <c r="P1193" s="64">
        <f t="shared" si="37"/>
        <v>47.771854882498317</v>
      </c>
    </row>
    <row r="1194" spans="1:16" ht="15">
      <c r="A1194" s="3" t="s">
        <v>1350</v>
      </c>
      <c r="B1194" s="3" t="s">
        <v>1351</v>
      </c>
      <c r="C1194" s="61" t="s">
        <v>3319</v>
      </c>
      <c r="D1194" s="3" t="s">
        <v>3248</v>
      </c>
      <c r="E1194" s="3">
        <v>1</v>
      </c>
      <c r="F1194" s="3" t="s">
        <v>3224</v>
      </c>
      <c r="G1194" s="9">
        <v>1001.560801</v>
      </c>
      <c r="H1194" s="66">
        <v>29546.0436295</v>
      </c>
      <c r="I1194" s="9">
        <v>1179.2943977549701</v>
      </c>
      <c r="J1194" s="10">
        <v>1.1774566222814566</v>
      </c>
      <c r="K1194" s="66">
        <v>9387.0512646590978</v>
      </c>
      <c r="L1194" s="69">
        <v>38933.094894159098</v>
      </c>
      <c r="M1194" s="64">
        <v>817175.87814347935</v>
      </c>
      <c r="N1194" s="67">
        <v>16379.719828674457</v>
      </c>
      <c r="O1194" s="64">
        <f t="shared" si="36"/>
        <v>55312.814722833558</v>
      </c>
      <c r="P1194" s="64">
        <f t="shared" si="37"/>
        <v>55.226616963849764</v>
      </c>
    </row>
    <row r="1195" spans="1:16" ht="15">
      <c r="A1195" s="3" t="s">
        <v>1352</v>
      </c>
      <c r="B1195" s="3" t="s">
        <v>1353</v>
      </c>
      <c r="C1195" s="61" t="s">
        <v>3319</v>
      </c>
      <c r="D1195" s="3" t="s">
        <v>3248</v>
      </c>
      <c r="E1195" s="3">
        <v>1</v>
      </c>
      <c r="F1195" s="3" t="s">
        <v>3224</v>
      </c>
      <c r="G1195" s="9">
        <v>975.01945599999999</v>
      </c>
      <c r="H1195" s="66">
        <v>28763.073951999999</v>
      </c>
      <c r="I1195" s="9">
        <v>1064.84655466295</v>
      </c>
      <c r="J1195" s="10">
        <v>1.0921285191902366</v>
      </c>
      <c r="K1195" s="66">
        <v>4744.2441693631163</v>
      </c>
      <c r="L1195" s="69">
        <v>33507.318121363118</v>
      </c>
      <c r="M1195" s="64">
        <v>413861.01243214053</v>
      </c>
      <c r="N1195" s="67">
        <v>8295.5549875638608</v>
      </c>
      <c r="O1195" s="64">
        <f t="shared" si="36"/>
        <v>41802.873108926979</v>
      </c>
      <c r="P1195" s="64">
        <f t="shared" si="37"/>
        <v>42.873886107280896</v>
      </c>
    </row>
    <row r="1196" spans="1:16" ht="15">
      <c r="A1196" s="3" t="s">
        <v>1356</v>
      </c>
      <c r="B1196" s="3" t="s">
        <v>1357</v>
      </c>
      <c r="C1196" s="61" t="s">
        <v>3299</v>
      </c>
      <c r="D1196" s="3" t="s">
        <v>3248</v>
      </c>
      <c r="E1196" s="3">
        <v>1</v>
      </c>
      <c r="F1196" s="3" t="s">
        <v>1904</v>
      </c>
      <c r="G1196" s="9">
        <v>1455.624695</v>
      </c>
      <c r="H1196" s="66">
        <v>42940.928502499999</v>
      </c>
      <c r="I1196" s="9">
        <v>1652.5537590048</v>
      </c>
      <c r="J1196" s="10">
        <v>1.1352883505489031</v>
      </c>
      <c r="K1196" s="66">
        <v>10400.865413548758</v>
      </c>
      <c r="L1196" s="69">
        <v>53341.793916048759</v>
      </c>
      <c r="M1196" s="64">
        <v>1138832.4140125813</v>
      </c>
      <c r="N1196" s="67">
        <v>22827.100471587659</v>
      </c>
      <c r="O1196" s="64">
        <f t="shared" si="36"/>
        <v>76168.894387636421</v>
      </c>
      <c r="P1196" s="64">
        <f t="shared" si="37"/>
        <v>52.327289203922462</v>
      </c>
    </row>
    <row r="1197" spans="1:16" ht="15">
      <c r="A1197" s="3" t="s">
        <v>865</v>
      </c>
      <c r="B1197" s="3" t="s">
        <v>866</v>
      </c>
      <c r="C1197" s="61" t="s">
        <v>3299</v>
      </c>
      <c r="D1197" s="3" t="s">
        <v>3248</v>
      </c>
      <c r="E1197" s="3">
        <v>1</v>
      </c>
      <c r="F1197" s="3" t="s">
        <v>3223</v>
      </c>
      <c r="G1197" s="9">
        <v>457.36176499999999</v>
      </c>
      <c r="H1197" s="66">
        <v>13492.1720675</v>
      </c>
      <c r="I1197" s="9">
        <v>553.76303366541504</v>
      </c>
      <c r="J1197" s="10">
        <v>1.210776842409236</v>
      </c>
      <c r="K1197" s="66">
        <v>5091.4608574989106</v>
      </c>
      <c r="L1197" s="69">
        <v>18583.63292499891</v>
      </c>
      <c r="M1197" s="64">
        <v>165111.16621529739</v>
      </c>
      <c r="N1197" s="67">
        <v>3309.5380266687466</v>
      </c>
      <c r="O1197" s="64">
        <f t="shared" si="36"/>
        <v>21893.170951667656</v>
      </c>
      <c r="P1197" s="64">
        <f t="shared" si="37"/>
        <v>47.868389155065593</v>
      </c>
    </row>
    <row r="1198" spans="1:16" ht="15">
      <c r="A1198" s="3" t="s">
        <v>886</v>
      </c>
      <c r="B1198" s="3" t="s">
        <v>887</v>
      </c>
      <c r="C1198" s="61" t="s">
        <v>3299</v>
      </c>
      <c r="D1198" s="3" t="s">
        <v>3248</v>
      </c>
      <c r="E1198" s="3">
        <v>1</v>
      </c>
      <c r="F1198" s="3" t="s">
        <v>1904</v>
      </c>
      <c r="G1198" s="9">
        <v>755.09713099999999</v>
      </c>
      <c r="H1198" s="66">
        <v>22275.365364500001</v>
      </c>
      <c r="I1198" s="9">
        <v>851.81024355730597</v>
      </c>
      <c r="J1198" s="10">
        <v>1.1280803602434903</v>
      </c>
      <c r="K1198" s="66">
        <v>5107.9309827492689</v>
      </c>
      <c r="L1198" s="69">
        <v>27383.29634724927</v>
      </c>
      <c r="M1198" s="64">
        <v>313588.41536449589</v>
      </c>
      <c r="N1198" s="67">
        <v>6285.6608015130032</v>
      </c>
      <c r="O1198" s="64">
        <f t="shared" si="36"/>
        <v>33668.957148762274</v>
      </c>
      <c r="P1198" s="64">
        <f t="shared" si="37"/>
        <v>44.588908852260325</v>
      </c>
    </row>
    <row r="1199" spans="1:16" ht="15">
      <c r="A1199" s="3" t="s">
        <v>1358</v>
      </c>
      <c r="B1199" s="3" t="s">
        <v>1359</v>
      </c>
      <c r="C1199" s="61" t="s">
        <v>3299</v>
      </c>
      <c r="D1199" s="3" t="s">
        <v>3248</v>
      </c>
      <c r="E1199" s="3">
        <v>1</v>
      </c>
      <c r="F1199" s="3" t="s">
        <v>3224</v>
      </c>
      <c r="G1199" s="9">
        <v>1276.948048</v>
      </c>
      <c r="H1199" s="66">
        <v>37669.967416</v>
      </c>
      <c r="I1199" s="9">
        <v>1419.5733410032001</v>
      </c>
      <c r="J1199" s="10">
        <v>1.1116923223513946</v>
      </c>
      <c r="K1199" s="66">
        <v>7532.7960582704245</v>
      </c>
      <c r="L1199" s="69">
        <v>45202.763474270425</v>
      </c>
      <c r="M1199" s="64">
        <v>1129110.4398360166</v>
      </c>
      <c r="N1199" s="67">
        <v>22632.230288249011</v>
      </c>
      <c r="O1199" s="64">
        <f t="shared" si="36"/>
        <v>67834.993762519443</v>
      </c>
      <c r="P1199" s="64">
        <f t="shared" si="37"/>
        <v>53.122751445342629</v>
      </c>
    </row>
    <row r="1200" spans="1:16" ht="15">
      <c r="A1200" s="3" t="str">
        <f>"110684"</f>
        <v>110684</v>
      </c>
      <c r="B1200" s="3" t="s">
        <v>2570</v>
      </c>
      <c r="C1200" s="61" t="s">
        <v>3299</v>
      </c>
      <c r="D1200" s="3" t="s">
        <v>3249</v>
      </c>
      <c r="E1200" s="3">
        <v>1</v>
      </c>
      <c r="F1200" s="3" t="s">
        <v>3220</v>
      </c>
      <c r="G1200" s="9">
        <v>26</v>
      </c>
      <c r="H1200" s="66">
        <v>767</v>
      </c>
      <c r="I1200" s="9">
        <v>26</v>
      </c>
      <c r="J1200" s="10">
        <v>1</v>
      </c>
      <c r="K1200" s="66">
        <v>0</v>
      </c>
      <c r="L1200" s="69">
        <v>767</v>
      </c>
      <c r="M1200" s="64">
        <v>0</v>
      </c>
      <c r="N1200" s="67">
        <v>0</v>
      </c>
      <c r="O1200" s="64">
        <f t="shared" si="36"/>
        <v>767</v>
      </c>
      <c r="P1200" s="64">
        <f t="shared" si="37"/>
        <v>29.5</v>
      </c>
    </row>
    <row r="1201" spans="1:16" ht="15">
      <c r="A1201" s="3" t="s">
        <v>922</v>
      </c>
      <c r="B1201" s="3" t="s">
        <v>923</v>
      </c>
      <c r="C1201" s="61" t="s">
        <v>3299</v>
      </c>
      <c r="D1201" s="3" t="s">
        <v>3248</v>
      </c>
      <c r="E1201" s="3">
        <v>1</v>
      </c>
      <c r="F1201" s="3" t="s">
        <v>3224</v>
      </c>
      <c r="G1201" s="9">
        <v>1372.8592550000001</v>
      </c>
      <c r="H1201" s="66">
        <v>40499.348022500002</v>
      </c>
      <c r="I1201" s="9">
        <v>1603.3666495079899</v>
      </c>
      <c r="J1201" s="10">
        <v>1.1679031507916591</v>
      </c>
      <c r="K1201" s="66">
        <v>12174.314640762997</v>
      </c>
      <c r="L1201" s="69">
        <v>52673.662663263</v>
      </c>
      <c r="M1201" s="64">
        <v>1026623.8700628388</v>
      </c>
      <c r="N1201" s="67">
        <v>20577.958565372966</v>
      </c>
      <c r="O1201" s="64">
        <f t="shared" si="36"/>
        <v>73251.621228635966</v>
      </c>
      <c r="P1201" s="64">
        <f t="shared" si="37"/>
        <v>53.356978118369433</v>
      </c>
    </row>
    <row r="1202" spans="1:16" ht="15">
      <c r="A1202" s="3" t="s">
        <v>1360</v>
      </c>
      <c r="B1202" s="3" t="s">
        <v>1361</v>
      </c>
      <c r="C1202" s="61" t="s">
        <v>3299</v>
      </c>
      <c r="D1202" s="3" t="s">
        <v>3248</v>
      </c>
      <c r="E1202" s="3">
        <v>1</v>
      </c>
      <c r="F1202" s="3" t="s">
        <v>3224</v>
      </c>
      <c r="G1202" s="9">
        <v>587.32707100000005</v>
      </c>
      <c r="H1202" s="66">
        <v>17326.148594500002</v>
      </c>
      <c r="I1202" s="9">
        <v>649.43556373976105</v>
      </c>
      <c r="J1202" s="10">
        <v>1.1057477099327522</v>
      </c>
      <c r="K1202" s="66">
        <v>3280.2779888746081</v>
      </c>
      <c r="L1202" s="69">
        <v>20606.42658337461</v>
      </c>
      <c r="M1202" s="64">
        <v>353901.12811579078</v>
      </c>
      <c r="N1202" s="67">
        <v>7093.7009775154884</v>
      </c>
      <c r="O1202" s="64">
        <f t="shared" si="36"/>
        <v>27700.127560890098</v>
      </c>
      <c r="P1202" s="64">
        <f t="shared" si="37"/>
        <v>47.163035604211231</v>
      </c>
    </row>
    <row r="1203" spans="1:16" ht="15">
      <c r="A1203" s="3" t="str">
        <f>"122465"</f>
        <v>122465</v>
      </c>
      <c r="B1203" s="3" t="s">
        <v>2900</v>
      </c>
      <c r="C1203" s="61" t="s">
        <v>3299</v>
      </c>
      <c r="D1203" s="3" t="s">
        <v>3249</v>
      </c>
      <c r="E1203" s="3">
        <v>1</v>
      </c>
      <c r="F1203" s="3" t="s">
        <v>3220</v>
      </c>
      <c r="G1203" s="9">
        <v>33</v>
      </c>
      <c r="H1203" s="66">
        <v>973.5</v>
      </c>
      <c r="I1203" s="9">
        <v>58.808999999999997</v>
      </c>
      <c r="J1203" s="10">
        <v>1.7820909090909089</v>
      </c>
      <c r="K1203" s="66">
        <v>1363.109791918459</v>
      </c>
      <c r="L1203" s="69">
        <v>2336.609791918459</v>
      </c>
      <c r="M1203" s="64">
        <v>0</v>
      </c>
      <c r="N1203" s="67">
        <v>0</v>
      </c>
      <c r="O1203" s="64">
        <f t="shared" si="36"/>
        <v>2336.609791918459</v>
      </c>
      <c r="P1203" s="64">
        <f t="shared" si="37"/>
        <v>70.806357330862397</v>
      </c>
    </row>
    <row r="1204" spans="1:16" ht="15">
      <c r="A1204" s="3" t="str">
        <f>"055368"</f>
        <v>055368</v>
      </c>
      <c r="B1204" s="3" t="s">
        <v>2713</v>
      </c>
      <c r="C1204" s="61" t="s">
        <v>3299</v>
      </c>
      <c r="D1204" s="3" t="s">
        <v>3249</v>
      </c>
      <c r="E1204" s="3">
        <v>1</v>
      </c>
      <c r="F1204" s="3" t="s">
        <v>3220</v>
      </c>
      <c r="G1204" s="9">
        <v>120</v>
      </c>
      <c r="H1204" s="66">
        <v>3540</v>
      </c>
      <c r="I1204" s="9">
        <v>127.4618</v>
      </c>
      <c r="J1204" s="10">
        <v>1.0621816666666666</v>
      </c>
      <c r="K1204" s="66">
        <v>394.09712291592683</v>
      </c>
      <c r="L1204" s="69">
        <v>3934.0971229159268</v>
      </c>
      <c r="M1204" s="64">
        <v>0</v>
      </c>
      <c r="N1204" s="67">
        <v>0</v>
      </c>
      <c r="O1204" s="64">
        <f t="shared" si="36"/>
        <v>3934.0971229159268</v>
      </c>
      <c r="P1204" s="64">
        <f t="shared" si="37"/>
        <v>32.784142690966057</v>
      </c>
    </row>
    <row r="1205" spans="1:16" ht="15">
      <c r="A1205" s="3" t="str">
        <f>"019151"</f>
        <v>019151</v>
      </c>
      <c r="B1205" s="3" t="s">
        <v>2645</v>
      </c>
      <c r="C1205" s="61" t="s">
        <v>3299</v>
      </c>
      <c r="D1205" s="3" t="s">
        <v>3249</v>
      </c>
      <c r="E1205" s="3">
        <v>1</v>
      </c>
      <c r="F1205" s="3" t="s">
        <v>3220</v>
      </c>
      <c r="G1205" s="9">
        <v>25</v>
      </c>
      <c r="H1205" s="66">
        <v>737.5</v>
      </c>
      <c r="I1205" s="9">
        <v>25</v>
      </c>
      <c r="J1205" s="10">
        <v>1</v>
      </c>
      <c r="K1205" s="66">
        <v>0</v>
      </c>
      <c r="L1205" s="69">
        <v>737.5</v>
      </c>
      <c r="M1205" s="64">
        <v>0</v>
      </c>
      <c r="N1205" s="67">
        <v>0</v>
      </c>
      <c r="O1205" s="64">
        <f t="shared" si="36"/>
        <v>737.5</v>
      </c>
      <c r="P1205" s="64">
        <f t="shared" si="37"/>
        <v>29.5</v>
      </c>
    </row>
    <row r="1206" spans="1:16" ht="15">
      <c r="A1206" s="3" t="s">
        <v>755</v>
      </c>
      <c r="B1206" s="3" t="s">
        <v>756</v>
      </c>
      <c r="C1206" s="61" t="s">
        <v>3299</v>
      </c>
      <c r="D1206" s="3" t="s">
        <v>3248</v>
      </c>
      <c r="E1206" s="3">
        <v>1</v>
      </c>
      <c r="F1206" s="3" t="s">
        <v>1905</v>
      </c>
      <c r="G1206" s="9">
        <v>3170.851623</v>
      </c>
      <c r="H1206" s="66">
        <v>93540.122878499998</v>
      </c>
      <c r="I1206" s="9">
        <v>3877.3251844421002</v>
      </c>
      <c r="J1206" s="10">
        <v>1.2228024661632362</v>
      </c>
      <c r="K1206" s="66">
        <v>37312.605266892715</v>
      </c>
      <c r="L1206" s="69">
        <v>130852.72814539271</v>
      </c>
      <c r="M1206" s="64">
        <v>1899837.9750448747</v>
      </c>
      <c r="N1206" s="67">
        <v>38080.925518517855</v>
      </c>
      <c r="O1206" s="64">
        <f t="shared" si="36"/>
        <v>168933.65366391058</v>
      </c>
      <c r="P1206" s="64">
        <f t="shared" si="37"/>
        <v>53.277060471243175</v>
      </c>
    </row>
    <row r="1207" spans="1:16" ht="15">
      <c r="A1207" s="3" t="str">
        <f>"070250"</f>
        <v>070250</v>
      </c>
      <c r="B1207" s="3" t="s">
        <v>2653</v>
      </c>
      <c r="C1207" s="61" t="s">
        <v>3299</v>
      </c>
      <c r="D1207" s="3" t="s">
        <v>3249</v>
      </c>
      <c r="E1207" s="3">
        <v>1</v>
      </c>
      <c r="F1207" s="3" t="s">
        <v>3220</v>
      </c>
      <c r="G1207" s="9">
        <v>7</v>
      </c>
      <c r="H1207" s="66">
        <v>206.5</v>
      </c>
      <c r="I1207" s="9">
        <v>8.2374000000000009</v>
      </c>
      <c r="J1207" s="10">
        <v>1.1767714285714288</v>
      </c>
      <c r="K1207" s="66">
        <v>65.353638518342549</v>
      </c>
      <c r="L1207" s="69">
        <v>271.85363851834256</v>
      </c>
      <c r="M1207" s="64">
        <v>0</v>
      </c>
      <c r="N1207" s="67">
        <v>0</v>
      </c>
      <c r="O1207" s="64">
        <f t="shared" si="36"/>
        <v>271.85363851834256</v>
      </c>
      <c r="P1207" s="64">
        <f t="shared" si="37"/>
        <v>38.836234074048939</v>
      </c>
    </row>
    <row r="1208" spans="1:16" ht="15">
      <c r="A1208" s="3" t="str">
        <f>"055434"</f>
        <v>055434</v>
      </c>
      <c r="B1208" s="3" t="s">
        <v>2702</v>
      </c>
      <c r="C1208" s="61" t="s">
        <v>3299</v>
      </c>
      <c r="D1208" s="3" t="s">
        <v>3249</v>
      </c>
      <c r="E1208" s="3">
        <v>1</v>
      </c>
      <c r="F1208" s="3" t="s">
        <v>3220</v>
      </c>
      <c r="G1208" s="9">
        <v>141</v>
      </c>
      <c r="H1208" s="66">
        <v>4159.5</v>
      </c>
      <c r="I1208" s="9">
        <v>148.3244</v>
      </c>
      <c r="J1208" s="10">
        <v>1.0519460992907801</v>
      </c>
      <c r="K1208" s="66">
        <v>386.84030221734895</v>
      </c>
      <c r="L1208" s="69">
        <v>4546.3403022173488</v>
      </c>
      <c r="M1208" s="64">
        <v>0</v>
      </c>
      <c r="N1208" s="67">
        <v>0</v>
      </c>
      <c r="O1208" s="64">
        <f t="shared" si="36"/>
        <v>4546.3403022173488</v>
      </c>
      <c r="P1208" s="64">
        <f t="shared" si="37"/>
        <v>32.243548242676233</v>
      </c>
    </row>
    <row r="1209" spans="1:16" ht="15">
      <c r="A1209" s="3" t="s">
        <v>942</v>
      </c>
      <c r="B1209" s="3" t="s">
        <v>943</v>
      </c>
      <c r="C1209" s="61" t="s">
        <v>3299</v>
      </c>
      <c r="D1209" s="3" t="s">
        <v>3248</v>
      </c>
      <c r="E1209" s="3">
        <v>1</v>
      </c>
      <c r="F1209" s="3" t="s">
        <v>1906</v>
      </c>
      <c r="G1209" s="9">
        <v>2498.7672029999999</v>
      </c>
      <c r="H1209" s="66">
        <v>73713.632488499992</v>
      </c>
      <c r="I1209" s="9">
        <v>2876.4703570593501</v>
      </c>
      <c r="J1209" s="10">
        <v>1.1511557993901484</v>
      </c>
      <c r="K1209" s="66">
        <v>19948.501210305967</v>
      </c>
      <c r="L1209" s="69">
        <v>93662.133698805963</v>
      </c>
      <c r="M1209" s="64">
        <v>1337168.8814235288</v>
      </c>
      <c r="N1209" s="67">
        <v>26802.616458893805</v>
      </c>
      <c r="O1209" s="64">
        <f t="shared" si="36"/>
        <v>120464.75015769977</v>
      </c>
      <c r="P1209" s="64">
        <f t="shared" si="37"/>
        <v>48.209673159256596</v>
      </c>
    </row>
    <row r="1210" spans="1:16" ht="15">
      <c r="A1210" s="3" t="str">
        <f>"090233"</f>
        <v>090233</v>
      </c>
      <c r="B1210" s="3" t="s">
        <v>2786</v>
      </c>
      <c r="C1210" s="61" t="s">
        <v>3299</v>
      </c>
      <c r="D1210" s="3" t="s">
        <v>3249</v>
      </c>
      <c r="E1210" s="3">
        <v>1</v>
      </c>
      <c r="F1210" s="3" t="s">
        <v>3220</v>
      </c>
      <c r="G1210" s="9">
        <v>288</v>
      </c>
      <c r="H1210" s="66">
        <v>8496</v>
      </c>
      <c r="I1210" s="9">
        <v>298.3236</v>
      </c>
      <c r="J1210" s="10">
        <v>1.0358458333333334</v>
      </c>
      <c r="K1210" s="66">
        <v>545.24391676738367</v>
      </c>
      <c r="L1210" s="69">
        <v>9041.2439167673838</v>
      </c>
      <c r="M1210" s="64">
        <v>0</v>
      </c>
      <c r="N1210" s="67">
        <v>0</v>
      </c>
      <c r="O1210" s="64">
        <f t="shared" si="36"/>
        <v>9041.2439167673838</v>
      </c>
      <c r="P1210" s="64">
        <f t="shared" si="37"/>
        <v>31.393208044331192</v>
      </c>
    </row>
    <row r="1211" spans="1:16" ht="15">
      <c r="A1211" s="3" t="str">
        <f>"125310"</f>
        <v>125310</v>
      </c>
      <c r="B1211" s="3" t="s">
        <v>2802</v>
      </c>
      <c r="C1211" s="61" t="s">
        <v>3299</v>
      </c>
      <c r="D1211" s="3" t="s">
        <v>3249</v>
      </c>
      <c r="E1211" s="3">
        <v>1</v>
      </c>
      <c r="F1211" s="3" t="s">
        <v>3220</v>
      </c>
      <c r="G1211" s="9">
        <v>343</v>
      </c>
      <c r="H1211" s="66">
        <v>10118.5</v>
      </c>
      <c r="I1211" s="9">
        <v>354.06099999999998</v>
      </c>
      <c r="J1211" s="10">
        <v>1.0322478134110786</v>
      </c>
      <c r="K1211" s="66">
        <v>584.18991082219577</v>
      </c>
      <c r="L1211" s="69">
        <v>10702.689910822195</v>
      </c>
      <c r="M1211" s="64">
        <v>0</v>
      </c>
      <c r="N1211" s="67">
        <v>0</v>
      </c>
      <c r="O1211" s="64">
        <f t="shared" si="36"/>
        <v>10702.689910822195</v>
      </c>
      <c r="P1211" s="64">
        <f t="shared" si="37"/>
        <v>31.203177582571996</v>
      </c>
    </row>
    <row r="1212" spans="1:16" ht="15">
      <c r="A1212" s="3" t="s">
        <v>808</v>
      </c>
      <c r="B1212" s="3" t="s">
        <v>809</v>
      </c>
      <c r="C1212" s="61" t="s">
        <v>3299</v>
      </c>
      <c r="D1212" s="3" t="s">
        <v>3248</v>
      </c>
      <c r="E1212" s="3">
        <v>1</v>
      </c>
      <c r="F1212" s="3" t="s">
        <v>1906</v>
      </c>
      <c r="G1212" s="9">
        <v>4065.9266779999998</v>
      </c>
      <c r="H1212" s="66">
        <v>119944.83700099999</v>
      </c>
      <c r="I1212" s="9">
        <v>4755.48221544019</v>
      </c>
      <c r="J1212" s="10">
        <v>1.1695936970952407</v>
      </c>
      <c r="K1212" s="66">
        <v>36419.07494115692</v>
      </c>
      <c r="L1212" s="69">
        <v>156363.9119421569</v>
      </c>
      <c r="M1212" s="64">
        <v>2130217.9445753433</v>
      </c>
      <c r="N1212" s="67">
        <v>42698.73112925209</v>
      </c>
      <c r="O1212" s="64">
        <f t="shared" si="36"/>
        <v>199062.64307140899</v>
      </c>
      <c r="P1212" s="64">
        <f t="shared" si="37"/>
        <v>48.958739012314524</v>
      </c>
    </row>
    <row r="1213" spans="1:16" ht="15">
      <c r="A1213" s="3" t="s">
        <v>532</v>
      </c>
      <c r="B1213" s="3" t="s">
        <v>533</v>
      </c>
      <c r="C1213" s="61" t="s">
        <v>3299</v>
      </c>
      <c r="D1213" s="3" t="s">
        <v>456</v>
      </c>
      <c r="E1213" s="3">
        <v>1</v>
      </c>
      <c r="F1213" s="3" t="s">
        <v>1897</v>
      </c>
      <c r="G1213" s="9">
        <v>1295.2865360000001</v>
      </c>
      <c r="H1213" s="66">
        <v>38210.952812000003</v>
      </c>
      <c r="I1213" s="9">
        <v>1654.4603972104801</v>
      </c>
      <c r="J1213" s="10">
        <v>1.2772929782159643</v>
      </c>
      <c r="K1213" s="66">
        <v>18969.871254878803</v>
      </c>
      <c r="L1213" s="69">
        <v>57180.824066878806</v>
      </c>
      <c r="M1213" s="64">
        <v>0</v>
      </c>
      <c r="N1213" s="67">
        <v>0</v>
      </c>
      <c r="O1213" s="64">
        <f t="shared" si="36"/>
        <v>57180.824066878806</v>
      </c>
      <c r="P1213" s="64">
        <f t="shared" si="37"/>
        <v>44.145308761920766</v>
      </c>
    </row>
    <row r="1214" spans="1:16" ht="15">
      <c r="A1214" s="19">
        <v>66142</v>
      </c>
      <c r="B1214" s="20" t="s">
        <v>1939</v>
      </c>
      <c r="C1214" s="61" t="s">
        <v>3337</v>
      </c>
      <c r="D1214" s="19" t="s">
        <v>1973</v>
      </c>
      <c r="E1214" s="19">
        <v>1</v>
      </c>
      <c r="F1214" s="19" t="s">
        <v>1974</v>
      </c>
      <c r="G1214" s="9">
        <v>17.03</v>
      </c>
      <c r="H1214" s="66">
        <v>502.38500000000005</v>
      </c>
      <c r="I1214" s="9">
        <v>70.123768999999996</v>
      </c>
      <c r="J1214" s="10">
        <v>4.1176611274221955</v>
      </c>
      <c r="K1214" s="66">
        <v>2804.1627499615147</v>
      </c>
      <c r="L1214" s="69">
        <v>3306.5477499615149</v>
      </c>
      <c r="M1214" s="64">
        <v>0</v>
      </c>
      <c r="N1214" s="67">
        <v>0</v>
      </c>
      <c r="O1214" s="64">
        <f t="shared" si="36"/>
        <v>3306.5477499615149</v>
      </c>
      <c r="P1214" s="64">
        <f t="shared" si="37"/>
        <v>194.160173221463</v>
      </c>
    </row>
    <row r="1215" spans="1:16" ht="15">
      <c r="A1215" s="3" t="str">
        <f>"058479"</f>
        <v>058479</v>
      </c>
      <c r="B1215" s="3" t="s">
        <v>2781</v>
      </c>
      <c r="C1215" s="61" t="s">
        <v>3337</v>
      </c>
      <c r="D1215" s="3" t="s">
        <v>3249</v>
      </c>
      <c r="E1215" s="3">
        <v>1</v>
      </c>
      <c r="F1215" s="3" t="s">
        <v>3220</v>
      </c>
      <c r="G1215" s="9">
        <v>88</v>
      </c>
      <c r="H1215" s="66">
        <v>2596</v>
      </c>
      <c r="I1215" s="9">
        <v>100.1862</v>
      </c>
      <c r="J1215" s="10">
        <v>1.1384795454545455</v>
      </c>
      <c r="K1215" s="66">
        <v>643.61767392292336</v>
      </c>
      <c r="L1215" s="69">
        <v>3239.6176739229231</v>
      </c>
      <c r="M1215" s="64">
        <v>0</v>
      </c>
      <c r="N1215" s="67">
        <v>0</v>
      </c>
      <c r="O1215" s="64">
        <f t="shared" si="36"/>
        <v>3239.6176739229231</v>
      </c>
      <c r="P1215" s="64">
        <f t="shared" si="37"/>
        <v>36.813837203669578</v>
      </c>
    </row>
    <row r="1216" spans="1:16" ht="15">
      <c r="A1216" s="3" t="s">
        <v>1362</v>
      </c>
      <c r="B1216" s="3" t="s">
        <v>1878</v>
      </c>
      <c r="C1216" s="61" t="s">
        <v>3337</v>
      </c>
      <c r="D1216" s="3" t="s">
        <v>3248</v>
      </c>
      <c r="E1216" s="3">
        <v>1</v>
      </c>
      <c r="F1216" s="3" t="s">
        <v>3223</v>
      </c>
      <c r="G1216" s="9">
        <v>2054.2874969999998</v>
      </c>
      <c r="H1216" s="66">
        <v>60601.481161499993</v>
      </c>
      <c r="I1216" s="9">
        <v>2583.4450889371101</v>
      </c>
      <c r="J1216" s="10">
        <v>1.2575869213583157</v>
      </c>
      <c r="K1216" s="66">
        <v>27947.611106105134</v>
      </c>
      <c r="L1216" s="69">
        <v>88549.092267605127</v>
      </c>
      <c r="M1216" s="64">
        <v>4117765.5657531945</v>
      </c>
      <c r="N1216" s="67">
        <v>82537.735255271473</v>
      </c>
      <c r="O1216" s="64">
        <f t="shared" si="36"/>
        <v>171086.82752287661</v>
      </c>
      <c r="P1216" s="64">
        <f t="shared" si="37"/>
        <v>83.282806215159781</v>
      </c>
    </row>
    <row r="1217" spans="1:16" ht="15">
      <c r="A1217" s="3" t="str">
        <f>"096263"</f>
        <v>096263</v>
      </c>
      <c r="B1217" s="3" t="s">
        <v>3095</v>
      </c>
      <c r="C1217" s="61" t="s">
        <v>3281</v>
      </c>
      <c r="D1217" s="3" t="s">
        <v>3249</v>
      </c>
      <c r="E1217" s="3">
        <v>1</v>
      </c>
      <c r="F1217" s="3" t="s">
        <v>3220</v>
      </c>
      <c r="G1217" s="9">
        <v>17</v>
      </c>
      <c r="H1217" s="66">
        <v>501.5</v>
      </c>
      <c r="I1217" s="9">
        <v>17</v>
      </c>
      <c r="J1217" s="10">
        <v>1</v>
      </c>
      <c r="K1217" s="66">
        <v>0</v>
      </c>
      <c r="L1217" s="69">
        <v>501.5</v>
      </c>
      <c r="M1217" s="64">
        <v>0</v>
      </c>
      <c r="N1217" s="67">
        <v>0</v>
      </c>
      <c r="O1217" s="64">
        <f t="shared" si="36"/>
        <v>501.5</v>
      </c>
      <c r="P1217" s="64">
        <f t="shared" si="37"/>
        <v>29.5</v>
      </c>
    </row>
    <row r="1218" spans="1:16" ht="15">
      <c r="A1218" s="3" t="str">
        <f>"052621"</f>
        <v>052621</v>
      </c>
      <c r="B1218" s="3" t="s">
        <v>2842</v>
      </c>
      <c r="C1218" s="61" t="s">
        <v>3281</v>
      </c>
      <c r="D1218" s="3" t="s">
        <v>3249</v>
      </c>
      <c r="E1218" s="3">
        <v>1</v>
      </c>
      <c r="F1218" s="3" t="s">
        <v>3220</v>
      </c>
      <c r="G1218" s="9">
        <v>572</v>
      </c>
      <c r="H1218" s="66">
        <v>16874</v>
      </c>
      <c r="I1218" s="9">
        <v>586.01059999999995</v>
      </c>
      <c r="J1218" s="10">
        <v>1.0244940559440558</v>
      </c>
      <c r="K1218" s="66">
        <v>739.9738870414468</v>
      </c>
      <c r="L1218" s="69">
        <v>17613.973887041448</v>
      </c>
      <c r="M1218" s="64">
        <v>0</v>
      </c>
      <c r="N1218" s="67">
        <v>0</v>
      </c>
      <c r="O1218" s="64">
        <f t="shared" si="36"/>
        <v>17613.973887041448</v>
      </c>
      <c r="P1218" s="64">
        <f t="shared" si="37"/>
        <v>30.793660641680852</v>
      </c>
    </row>
    <row r="1219" spans="1:16" ht="15">
      <c r="A1219" s="3" t="str">
        <f>"054239"</f>
        <v>054239</v>
      </c>
      <c r="B1219" s="3" t="s">
        <v>2819</v>
      </c>
      <c r="C1219" s="61" t="s">
        <v>3281</v>
      </c>
      <c r="D1219" s="3" t="s">
        <v>3249</v>
      </c>
      <c r="E1219" s="3">
        <v>1</v>
      </c>
      <c r="F1219" s="3" t="s">
        <v>3220</v>
      </c>
      <c r="G1219" s="9">
        <v>269</v>
      </c>
      <c r="H1219" s="66">
        <v>7935.5</v>
      </c>
      <c r="I1219" s="9">
        <v>291.29840000000002</v>
      </c>
      <c r="J1219" s="10">
        <v>1.0828936802973979</v>
      </c>
      <c r="K1219" s="66">
        <v>1177.6964386111276</v>
      </c>
      <c r="L1219" s="69">
        <v>9113.1964386111285</v>
      </c>
      <c r="M1219" s="64">
        <v>0</v>
      </c>
      <c r="N1219" s="67">
        <v>0</v>
      </c>
      <c r="O1219" s="64">
        <f t="shared" ref="O1219:O1282" si="38">(N1219+L1219)</f>
        <v>9113.1964386111285</v>
      </c>
      <c r="P1219" s="64">
        <f t="shared" ref="P1219:P1282" si="39">O1219/G1219</f>
        <v>33.878053675134304</v>
      </c>
    </row>
    <row r="1220" spans="1:16" ht="15">
      <c r="A1220" s="3" t="str">
        <f>"065755"</f>
        <v>065755</v>
      </c>
      <c r="B1220" s="3" t="s">
        <v>2880</v>
      </c>
      <c r="C1220" s="61" t="s">
        <v>3281</v>
      </c>
      <c r="D1220" s="3" t="s">
        <v>3249</v>
      </c>
      <c r="E1220" s="3">
        <v>1</v>
      </c>
      <c r="F1220" s="3" t="s">
        <v>3220</v>
      </c>
      <c r="G1220" s="9">
        <v>307</v>
      </c>
      <c r="H1220" s="66">
        <v>9056.5</v>
      </c>
      <c r="I1220" s="9">
        <v>330.8098</v>
      </c>
      <c r="J1220" s="10">
        <v>1.077556351791531</v>
      </c>
      <c r="K1220" s="66">
        <v>1257.5214662954832</v>
      </c>
      <c r="L1220" s="69">
        <v>10314.021466295482</v>
      </c>
      <c r="M1220" s="64">
        <v>0</v>
      </c>
      <c r="N1220" s="67">
        <v>0</v>
      </c>
      <c r="O1220" s="64">
        <f t="shared" si="38"/>
        <v>10314.021466295482</v>
      </c>
      <c r="P1220" s="64">
        <f t="shared" si="39"/>
        <v>33.596161127998315</v>
      </c>
    </row>
    <row r="1221" spans="1:16" ht="15">
      <c r="A1221" s="3" t="s">
        <v>1363</v>
      </c>
      <c r="B1221" s="3" t="s">
        <v>1364</v>
      </c>
      <c r="C1221" s="61" t="s">
        <v>3281</v>
      </c>
      <c r="D1221" s="3" t="s">
        <v>3248</v>
      </c>
      <c r="E1221" s="3">
        <v>1</v>
      </c>
      <c r="F1221" s="3" t="s">
        <v>1904</v>
      </c>
      <c r="G1221" s="9">
        <v>1464.3729020000001</v>
      </c>
      <c r="H1221" s="66">
        <v>43199.000609000002</v>
      </c>
      <c r="I1221" s="9">
        <v>1711.5884555605301</v>
      </c>
      <c r="J1221" s="10">
        <v>1.1688200821135721</v>
      </c>
      <c r="K1221" s="66">
        <v>13056.760888562159</v>
      </c>
      <c r="L1221" s="69">
        <v>56255.761497562162</v>
      </c>
      <c r="M1221" s="64">
        <v>788542.04407852865</v>
      </c>
      <c r="N1221" s="67">
        <v>15805.774620367294</v>
      </c>
      <c r="O1221" s="64">
        <f t="shared" si="38"/>
        <v>72061.536117929456</v>
      </c>
      <c r="P1221" s="64">
        <f t="shared" si="39"/>
        <v>49.209826280935545</v>
      </c>
    </row>
    <row r="1222" spans="1:16" ht="15">
      <c r="A1222" s="3" t="str">
        <f>"052803"</f>
        <v>052803</v>
      </c>
      <c r="B1222" s="3" t="s">
        <v>2922</v>
      </c>
      <c r="C1222" s="61" t="s">
        <v>3281</v>
      </c>
      <c r="D1222" s="3" t="s">
        <v>3249</v>
      </c>
      <c r="E1222" s="3">
        <v>1</v>
      </c>
      <c r="F1222" s="3" t="s">
        <v>3220</v>
      </c>
      <c r="G1222" s="9">
        <v>735</v>
      </c>
      <c r="H1222" s="66">
        <v>21682.5</v>
      </c>
      <c r="I1222" s="9">
        <v>788.10739999999998</v>
      </c>
      <c r="J1222" s="10">
        <v>1.0722549659863945</v>
      </c>
      <c r="K1222" s="66">
        <v>2804.8826751648789</v>
      </c>
      <c r="L1222" s="69">
        <v>24487.382675164878</v>
      </c>
      <c r="M1222" s="64">
        <v>0</v>
      </c>
      <c r="N1222" s="67">
        <v>0</v>
      </c>
      <c r="O1222" s="64">
        <f t="shared" si="38"/>
        <v>24487.382675164878</v>
      </c>
      <c r="P1222" s="64">
        <f t="shared" si="39"/>
        <v>33.316166904986225</v>
      </c>
    </row>
    <row r="1223" spans="1:16" ht="15">
      <c r="A1223" s="3" t="str">
        <f>"013257"</f>
        <v>013257</v>
      </c>
      <c r="B1223" s="3" t="s">
        <v>3185</v>
      </c>
      <c r="C1223" s="61" t="s">
        <v>3281</v>
      </c>
      <c r="D1223" s="3" t="s">
        <v>3249</v>
      </c>
      <c r="E1223" s="3">
        <v>1</v>
      </c>
      <c r="F1223" s="3" t="s">
        <v>3220</v>
      </c>
      <c r="G1223" s="9">
        <v>25</v>
      </c>
      <c r="H1223" s="66">
        <v>737.5</v>
      </c>
      <c r="I1223" s="9">
        <v>25</v>
      </c>
      <c r="J1223" s="10">
        <v>1</v>
      </c>
      <c r="K1223" s="66">
        <v>0</v>
      </c>
      <c r="L1223" s="69">
        <v>737.5</v>
      </c>
      <c r="M1223" s="64">
        <v>0</v>
      </c>
      <c r="N1223" s="67">
        <v>0</v>
      </c>
      <c r="O1223" s="64">
        <f t="shared" si="38"/>
        <v>737.5</v>
      </c>
      <c r="P1223" s="64">
        <f t="shared" si="39"/>
        <v>29.5</v>
      </c>
    </row>
    <row r="1224" spans="1:16" ht="15">
      <c r="A1224" s="3" t="s">
        <v>593</v>
      </c>
      <c r="B1224" s="3" t="s">
        <v>594</v>
      </c>
      <c r="C1224" s="61" t="s">
        <v>3281</v>
      </c>
      <c r="D1224" s="3" t="s">
        <v>3248</v>
      </c>
      <c r="E1224" s="3">
        <v>1</v>
      </c>
      <c r="F1224" s="3" t="s">
        <v>1907</v>
      </c>
      <c r="G1224" s="9">
        <v>8011.5367910000004</v>
      </c>
      <c r="H1224" s="66">
        <v>236340.33533450001</v>
      </c>
      <c r="I1224" s="9">
        <v>9503.8268709179902</v>
      </c>
      <c r="J1224" s="10">
        <v>1.1862676436304205</v>
      </c>
      <c r="K1224" s="66">
        <v>78815.731733852212</v>
      </c>
      <c r="L1224" s="69">
        <v>315156.06706835225</v>
      </c>
      <c r="M1224" s="64">
        <v>5660456.0447389903</v>
      </c>
      <c r="N1224" s="67">
        <v>113459.88861784816</v>
      </c>
      <c r="O1224" s="64">
        <f t="shared" si="38"/>
        <v>428615.95568620041</v>
      </c>
      <c r="P1224" s="64">
        <f t="shared" si="39"/>
        <v>53.499842398239871</v>
      </c>
    </row>
    <row r="1225" spans="1:16" ht="15">
      <c r="A1225" s="3" t="str">
        <f>"052878"</f>
        <v>052878</v>
      </c>
      <c r="B1225" s="3" t="s">
        <v>3005</v>
      </c>
      <c r="C1225" s="61" t="s">
        <v>3281</v>
      </c>
      <c r="D1225" s="3" t="s">
        <v>3249</v>
      </c>
      <c r="E1225" s="3">
        <v>1</v>
      </c>
      <c r="F1225" s="3" t="s">
        <v>3220</v>
      </c>
      <c r="G1225" s="9">
        <v>694</v>
      </c>
      <c r="H1225" s="66">
        <v>20473</v>
      </c>
      <c r="I1225" s="9">
        <v>774.55160000000001</v>
      </c>
      <c r="J1225" s="10">
        <v>1.1160685878962535</v>
      </c>
      <c r="K1225" s="66">
        <v>4254.3560275368654</v>
      </c>
      <c r="L1225" s="69">
        <v>24727.356027536865</v>
      </c>
      <c r="M1225" s="64">
        <v>0</v>
      </c>
      <c r="N1225" s="67">
        <v>0</v>
      </c>
      <c r="O1225" s="64">
        <f t="shared" si="38"/>
        <v>24727.356027536865</v>
      </c>
      <c r="P1225" s="64">
        <f t="shared" si="39"/>
        <v>35.630196005096344</v>
      </c>
    </row>
    <row r="1226" spans="1:16" ht="15">
      <c r="A1226" s="3" t="s">
        <v>403</v>
      </c>
      <c r="B1226" s="3" t="s">
        <v>404</v>
      </c>
      <c r="C1226" s="61" t="s">
        <v>3281</v>
      </c>
      <c r="D1226" s="3" t="s">
        <v>1684</v>
      </c>
      <c r="E1226" s="3">
        <v>1</v>
      </c>
      <c r="F1226" s="3" t="s">
        <v>3266</v>
      </c>
      <c r="G1226" s="9">
        <v>158.75595300000001</v>
      </c>
      <c r="H1226" s="66">
        <v>4683.3006135000005</v>
      </c>
      <c r="I1226" s="9">
        <v>205.275732182876</v>
      </c>
      <c r="J1226" s="10">
        <v>1.2930269908233047</v>
      </c>
      <c r="K1226" s="66">
        <v>2456.9555783665683</v>
      </c>
      <c r="L1226" s="69">
        <v>7140.2561918665688</v>
      </c>
      <c r="M1226" s="64">
        <v>0</v>
      </c>
      <c r="N1226" s="67">
        <v>0</v>
      </c>
      <c r="O1226" s="64">
        <f t="shared" si="38"/>
        <v>7140.2561918665688</v>
      </c>
      <c r="P1226" s="64">
        <f t="shared" si="39"/>
        <v>44.976305183759429</v>
      </c>
    </row>
    <row r="1227" spans="1:16" ht="15">
      <c r="A1227" s="3" t="str">
        <f>"009374"</f>
        <v>009374</v>
      </c>
      <c r="B1227" s="3" t="s">
        <v>3202</v>
      </c>
      <c r="C1227" s="61" t="s">
        <v>3281</v>
      </c>
      <c r="D1227" s="3" t="s">
        <v>3249</v>
      </c>
      <c r="E1227" s="3">
        <v>1</v>
      </c>
      <c r="F1227" s="3" t="s">
        <v>3220</v>
      </c>
      <c r="G1227" s="9">
        <v>27</v>
      </c>
      <c r="H1227" s="66">
        <v>796.5</v>
      </c>
      <c r="I1227" s="9">
        <v>27</v>
      </c>
      <c r="J1227" s="10">
        <v>1</v>
      </c>
      <c r="K1227" s="66">
        <v>0</v>
      </c>
      <c r="L1227" s="69">
        <v>796.5</v>
      </c>
      <c r="M1227" s="64">
        <v>0</v>
      </c>
      <c r="N1227" s="67">
        <v>0</v>
      </c>
      <c r="O1227" s="64">
        <f t="shared" si="38"/>
        <v>796.5</v>
      </c>
      <c r="P1227" s="64">
        <f t="shared" si="39"/>
        <v>29.5</v>
      </c>
    </row>
    <row r="1228" spans="1:16" ht="15">
      <c r="A1228" s="3" t="str">
        <f>"016119"</f>
        <v>016119</v>
      </c>
      <c r="B1228" s="3" t="s">
        <v>3172</v>
      </c>
      <c r="C1228" s="61" t="s">
        <v>3281</v>
      </c>
      <c r="D1228" s="3" t="s">
        <v>3249</v>
      </c>
      <c r="E1228" s="3">
        <v>1</v>
      </c>
      <c r="F1228" s="3" t="s">
        <v>3220</v>
      </c>
      <c r="G1228" s="9">
        <v>76</v>
      </c>
      <c r="H1228" s="66">
        <v>2242</v>
      </c>
      <c r="I1228" s="9">
        <v>76</v>
      </c>
      <c r="J1228" s="10">
        <v>1</v>
      </c>
      <c r="K1228" s="66">
        <v>0</v>
      </c>
      <c r="L1228" s="69">
        <v>2242</v>
      </c>
      <c r="M1228" s="64">
        <v>0</v>
      </c>
      <c r="N1228" s="67">
        <v>0</v>
      </c>
      <c r="O1228" s="64">
        <f t="shared" si="38"/>
        <v>2242</v>
      </c>
      <c r="P1228" s="64">
        <f t="shared" si="39"/>
        <v>29.5</v>
      </c>
    </row>
    <row r="1229" spans="1:16" ht="15">
      <c r="A1229" s="3" t="s">
        <v>149</v>
      </c>
      <c r="B1229" s="3" t="s">
        <v>150</v>
      </c>
      <c r="C1229" s="61" t="s">
        <v>3281</v>
      </c>
      <c r="D1229" s="3" t="s">
        <v>1684</v>
      </c>
      <c r="E1229" s="3">
        <v>1</v>
      </c>
      <c r="F1229" s="3" t="s">
        <v>3266</v>
      </c>
      <c r="G1229" s="9">
        <v>117.808088</v>
      </c>
      <c r="H1229" s="66">
        <v>3475.3385960000001</v>
      </c>
      <c r="I1229" s="9">
        <v>156.12684184629899</v>
      </c>
      <c r="J1229" s="10">
        <v>1.3252642029662598</v>
      </c>
      <c r="K1229" s="66">
        <v>2023.8160557171248</v>
      </c>
      <c r="L1229" s="69">
        <v>5499.1546517171246</v>
      </c>
      <c r="M1229" s="64">
        <v>0</v>
      </c>
      <c r="N1229" s="67">
        <v>0</v>
      </c>
      <c r="O1229" s="64">
        <f t="shared" si="38"/>
        <v>5499.1546517171246</v>
      </c>
      <c r="P1229" s="64">
        <f t="shared" si="39"/>
        <v>46.678922857292484</v>
      </c>
    </row>
    <row r="1230" spans="1:16" ht="15">
      <c r="A1230" s="3" t="str">
        <f>"066555"</f>
        <v>066555</v>
      </c>
      <c r="B1230" s="3" t="s">
        <v>3123</v>
      </c>
      <c r="C1230" s="61" t="s">
        <v>3281</v>
      </c>
      <c r="D1230" s="3" t="s">
        <v>3249</v>
      </c>
      <c r="E1230" s="3">
        <v>1</v>
      </c>
      <c r="F1230" s="3" t="s">
        <v>3220</v>
      </c>
      <c r="G1230" s="9">
        <v>655</v>
      </c>
      <c r="H1230" s="66">
        <v>19322.5</v>
      </c>
      <c r="I1230" s="9">
        <v>655</v>
      </c>
      <c r="J1230" s="10">
        <v>1</v>
      </c>
      <c r="K1230" s="66">
        <v>0</v>
      </c>
      <c r="L1230" s="69">
        <v>19322.5</v>
      </c>
      <c r="M1230" s="64">
        <v>0</v>
      </c>
      <c r="N1230" s="67">
        <v>0</v>
      </c>
      <c r="O1230" s="64">
        <f t="shared" si="38"/>
        <v>19322.5</v>
      </c>
      <c r="P1230" s="64">
        <f t="shared" si="39"/>
        <v>29.5</v>
      </c>
    </row>
    <row r="1231" spans="1:16" ht="15">
      <c r="A1231" s="3" t="s">
        <v>610</v>
      </c>
      <c r="B1231" s="3" t="s">
        <v>611</v>
      </c>
      <c r="C1231" s="61" t="s">
        <v>3281</v>
      </c>
      <c r="D1231" s="3" t="s">
        <v>3248</v>
      </c>
      <c r="E1231" s="3">
        <v>1</v>
      </c>
      <c r="F1231" s="3" t="s">
        <v>1908</v>
      </c>
      <c r="G1231" s="9">
        <v>12699.563876</v>
      </c>
      <c r="H1231" s="66">
        <v>374637.134342</v>
      </c>
      <c r="I1231" s="9">
        <v>18572.449905682199</v>
      </c>
      <c r="J1231" s="10">
        <v>1.4624478515188184</v>
      </c>
      <c r="K1231" s="66">
        <v>310178.17249335226</v>
      </c>
      <c r="L1231" s="69">
        <v>684815.30683535221</v>
      </c>
      <c r="M1231" s="64">
        <v>9112064.179905666</v>
      </c>
      <c r="N1231" s="67">
        <v>182644.96336680817</v>
      </c>
      <c r="O1231" s="64">
        <f t="shared" si="38"/>
        <v>867460.27020216035</v>
      </c>
      <c r="P1231" s="64">
        <f t="shared" si="39"/>
        <v>68.306303954383154</v>
      </c>
    </row>
    <row r="1232" spans="1:16" ht="15">
      <c r="A1232" s="3" t="s">
        <v>167</v>
      </c>
      <c r="B1232" s="3" t="s">
        <v>168</v>
      </c>
      <c r="C1232" s="61" t="s">
        <v>3281</v>
      </c>
      <c r="D1232" s="3" t="s">
        <v>1684</v>
      </c>
      <c r="E1232" s="3">
        <v>1</v>
      </c>
      <c r="F1232" s="3" t="s">
        <v>3266</v>
      </c>
      <c r="G1232" s="9">
        <v>341.73364400000003</v>
      </c>
      <c r="H1232" s="66">
        <v>10081.142498000001</v>
      </c>
      <c r="I1232" s="9">
        <v>390.51028953297703</v>
      </c>
      <c r="J1232" s="10">
        <v>1.1427329336440077</v>
      </c>
      <c r="K1232" s="66">
        <v>2576.1526267169097</v>
      </c>
      <c r="L1232" s="69">
        <v>12657.295124716911</v>
      </c>
      <c r="M1232" s="64">
        <v>0</v>
      </c>
      <c r="N1232" s="67">
        <v>0</v>
      </c>
      <c r="O1232" s="64">
        <f t="shared" si="38"/>
        <v>12657.295124716911</v>
      </c>
      <c r="P1232" s="64">
        <f t="shared" si="39"/>
        <v>37.038481129814983</v>
      </c>
    </row>
    <row r="1233" spans="1:16" ht="15">
      <c r="A1233" s="3" t="s">
        <v>361</v>
      </c>
      <c r="B1233" s="3" t="s">
        <v>362</v>
      </c>
      <c r="C1233" s="61" t="s">
        <v>3281</v>
      </c>
      <c r="D1233" s="3" t="s">
        <v>1684</v>
      </c>
      <c r="E1233" s="3">
        <v>1</v>
      </c>
      <c r="F1233" s="3" t="s">
        <v>3266</v>
      </c>
      <c r="G1233" s="9">
        <v>434.60389500000002</v>
      </c>
      <c r="H1233" s="66">
        <v>12820.8149025</v>
      </c>
      <c r="I1233" s="9">
        <v>580.95062251535796</v>
      </c>
      <c r="J1233" s="10">
        <v>1.3367358857088889</v>
      </c>
      <c r="K1233" s="66">
        <v>7729.3446972531692</v>
      </c>
      <c r="L1233" s="69">
        <v>20550.159599753169</v>
      </c>
      <c r="M1233" s="64">
        <v>0</v>
      </c>
      <c r="N1233" s="67">
        <v>0</v>
      </c>
      <c r="O1233" s="64">
        <f t="shared" si="38"/>
        <v>20550.159599753169</v>
      </c>
      <c r="P1233" s="64">
        <f t="shared" si="39"/>
        <v>47.284803095823996</v>
      </c>
    </row>
    <row r="1234" spans="1:16" ht="15">
      <c r="A1234" s="3" t="str">
        <f>"096289"</f>
        <v>096289</v>
      </c>
      <c r="B1234" s="3" t="s">
        <v>3094</v>
      </c>
      <c r="C1234" s="61" t="s">
        <v>3281</v>
      </c>
      <c r="D1234" s="3" t="s">
        <v>3249</v>
      </c>
      <c r="E1234" s="3">
        <v>1</v>
      </c>
      <c r="F1234" s="3" t="s">
        <v>3220</v>
      </c>
      <c r="G1234" s="9">
        <v>31</v>
      </c>
      <c r="H1234" s="66">
        <v>914.5</v>
      </c>
      <c r="I1234" s="9">
        <v>31</v>
      </c>
      <c r="J1234" s="10">
        <v>1</v>
      </c>
      <c r="K1234" s="66">
        <v>0</v>
      </c>
      <c r="L1234" s="69">
        <v>914.5</v>
      </c>
      <c r="M1234" s="64">
        <v>0</v>
      </c>
      <c r="N1234" s="67">
        <v>0</v>
      </c>
      <c r="O1234" s="64">
        <f t="shared" si="38"/>
        <v>914.5</v>
      </c>
      <c r="P1234" s="64">
        <f t="shared" si="39"/>
        <v>29.5</v>
      </c>
    </row>
    <row r="1235" spans="1:16" ht="15">
      <c r="A1235" s="3" t="s">
        <v>1672</v>
      </c>
      <c r="B1235" s="3" t="s">
        <v>1884</v>
      </c>
      <c r="C1235" s="61" t="s">
        <v>3281</v>
      </c>
      <c r="D1235" s="3" t="s">
        <v>1673</v>
      </c>
      <c r="E1235" s="3">
        <v>1</v>
      </c>
      <c r="F1235" s="3" t="s">
        <v>1673</v>
      </c>
      <c r="G1235" s="9">
        <v>652.37714500000004</v>
      </c>
      <c r="H1235" s="66">
        <v>19245.125777500001</v>
      </c>
      <c r="I1235" s="9">
        <v>694.61532518560102</v>
      </c>
      <c r="J1235" s="10">
        <v>1.0647450336194733</v>
      </c>
      <c r="K1235" s="66">
        <v>2230.8216902556837</v>
      </c>
      <c r="L1235" s="69">
        <v>21475.947467755686</v>
      </c>
      <c r="M1235" s="64">
        <v>0</v>
      </c>
      <c r="N1235" s="67">
        <v>0</v>
      </c>
      <c r="O1235" s="64">
        <f t="shared" si="38"/>
        <v>21475.947467755686</v>
      </c>
      <c r="P1235" s="64">
        <f t="shared" si="39"/>
        <v>32.919527657204611</v>
      </c>
    </row>
    <row r="1236" spans="1:16" ht="15">
      <c r="A1236" s="3" t="s">
        <v>309</v>
      </c>
      <c r="B1236" s="3" t="s">
        <v>1813</v>
      </c>
      <c r="C1236" s="61" t="s">
        <v>3281</v>
      </c>
      <c r="D1236" s="3" t="s">
        <v>1684</v>
      </c>
      <c r="E1236" s="3">
        <v>1</v>
      </c>
      <c r="F1236" s="3" t="s">
        <v>3266</v>
      </c>
      <c r="G1236" s="9">
        <v>109.543516</v>
      </c>
      <c r="H1236" s="66">
        <v>3231.5337220000001</v>
      </c>
      <c r="I1236" s="9">
        <v>159.158281361771</v>
      </c>
      <c r="J1236" s="10">
        <v>1.4529228855660521</v>
      </c>
      <c r="K1236" s="66">
        <v>2620.4181676301623</v>
      </c>
      <c r="L1236" s="69">
        <v>5851.9518896301624</v>
      </c>
      <c r="M1236" s="64">
        <v>47654.39</v>
      </c>
      <c r="N1236" s="67">
        <v>955.1989696266271</v>
      </c>
      <c r="O1236" s="64">
        <f t="shared" si="38"/>
        <v>6807.1508592567898</v>
      </c>
      <c r="P1236" s="64">
        <f t="shared" si="39"/>
        <v>62.141066014868372</v>
      </c>
    </row>
    <row r="1237" spans="1:16" ht="15">
      <c r="A1237" s="3" t="s">
        <v>265</v>
      </c>
      <c r="B1237" s="3" t="s">
        <v>1803</v>
      </c>
      <c r="C1237" s="61" t="s">
        <v>3281</v>
      </c>
      <c r="D1237" s="3" t="s">
        <v>1684</v>
      </c>
      <c r="E1237" s="3">
        <v>1</v>
      </c>
      <c r="F1237" s="3" t="s">
        <v>3266</v>
      </c>
      <c r="G1237" s="9">
        <v>904.61223600000005</v>
      </c>
      <c r="H1237" s="66">
        <v>26686.060962000003</v>
      </c>
      <c r="I1237" s="9">
        <v>1091.0663356280299</v>
      </c>
      <c r="J1237" s="10">
        <v>1.2061149431854798</v>
      </c>
      <c r="K1237" s="66">
        <v>9847.6271434889968</v>
      </c>
      <c r="L1237" s="69">
        <v>36533.688105488996</v>
      </c>
      <c r="M1237" s="64">
        <v>0</v>
      </c>
      <c r="N1237" s="67">
        <v>0</v>
      </c>
      <c r="O1237" s="64">
        <f t="shared" si="38"/>
        <v>36533.688105488996</v>
      </c>
      <c r="P1237" s="64">
        <f t="shared" si="39"/>
        <v>40.386020276525414</v>
      </c>
    </row>
    <row r="1238" spans="1:16" ht="15">
      <c r="A1238" s="3" t="str">
        <f>"015521"</f>
        <v>015521</v>
      </c>
      <c r="B1238" s="3" t="s">
        <v>3175</v>
      </c>
      <c r="C1238" s="61" t="s">
        <v>3281</v>
      </c>
      <c r="D1238" s="3" t="s">
        <v>3249</v>
      </c>
      <c r="E1238" s="3">
        <v>1</v>
      </c>
      <c r="F1238" s="3" t="s">
        <v>3220</v>
      </c>
      <c r="G1238" s="9">
        <v>100</v>
      </c>
      <c r="H1238" s="66">
        <v>2950</v>
      </c>
      <c r="I1238" s="9">
        <v>100</v>
      </c>
      <c r="J1238" s="10">
        <v>1</v>
      </c>
      <c r="K1238" s="66">
        <v>0</v>
      </c>
      <c r="L1238" s="69">
        <v>2950</v>
      </c>
      <c r="M1238" s="64">
        <v>0</v>
      </c>
      <c r="N1238" s="67">
        <v>0</v>
      </c>
      <c r="O1238" s="64">
        <f t="shared" si="38"/>
        <v>2950</v>
      </c>
      <c r="P1238" s="64">
        <f t="shared" si="39"/>
        <v>29.5</v>
      </c>
    </row>
    <row r="1239" spans="1:16" ht="15">
      <c r="A1239" s="3" t="str">
        <f>"097923"</f>
        <v>097923</v>
      </c>
      <c r="B1239" s="3" t="s">
        <v>2574</v>
      </c>
      <c r="C1239" s="61" t="s">
        <v>3281</v>
      </c>
      <c r="D1239" s="3" t="s">
        <v>3249</v>
      </c>
      <c r="E1239" s="3">
        <v>1</v>
      </c>
      <c r="F1239" s="3" t="s">
        <v>3220</v>
      </c>
      <c r="G1239" s="9">
        <v>370</v>
      </c>
      <c r="H1239" s="66">
        <v>10915</v>
      </c>
      <c r="I1239" s="9">
        <v>370</v>
      </c>
      <c r="J1239" s="10">
        <v>1</v>
      </c>
      <c r="K1239" s="66">
        <v>0</v>
      </c>
      <c r="L1239" s="69">
        <v>10915</v>
      </c>
      <c r="M1239" s="64">
        <v>0</v>
      </c>
      <c r="N1239" s="67">
        <v>0</v>
      </c>
      <c r="O1239" s="64">
        <f t="shared" si="38"/>
        <v>10915</v>
      </c>
      <c r="P1239" s="64">
        <f t="shared" si="39"/>
        <v>29.5</v>
      </c>
    </row>
    <row r="1240" spans="1:16" ht="15">
      <c r="A1240" s="3" t="s">
        <v>76</v>
      </c>
      <c r="B1240" s="3" t="s">
        <v>1771</v>
      </c>
      <c r="C1240" s="61" t="s">
        <v>3281</v>
      </c>
      <c r="D1240" s="3" t="s">
        <v>1684</v>
      </c>
      <c r="E1240" s="3">
        <v>1</v>
      </c>
      <c r="F1240" s="3" t="s">
        <v>3266</v>
      </c>
      <c r="G1240" s="9">
        <v>632.75000899999998</v>
      </c>
      <c r="H1240" s="66">
        <v>18666.125265499999</v>
      </c>
      <c r="I1240" s="9">
        <v>854.10104285691</v>
      </c>
      <c r="J1240" s="10">
        <v>1.3498238335969901</v>
      </c>
      <c r="K1240" s="66">
        <v>11690.718807455867</v>
      </c>
      <c r="L1240" s="69">
        <v>30356.844072955864</v>
      </c>
      <c r="M1240" s="64">
        <v>0</v>
      </c>
      <c r="N1240" s="67">
        <v>0</v>
      </c>
      <c r="O1240" s="64">
        <f t="shared" si="38"/>
        <v>30356.844072955864</v>
      </c>
      <c r="P1240" s="64">
        <f t="shared" si="39"/>
        <v>47.976046844996354</v>
      </c>
    </row>
    <row r="1241" spans="1:16" ht="15">
      <c r="A1241" s="3" t="str">
        <f>"119313"</f>
        <v>119313</v>
      </c>
      <c r="B1241" s="3" t="s">
        <v>2824</v>
      </c>
      <c r="C1241" s="61" t="s">
        <v>3281</v>
      </c>
      <c r="D1241" s="3" t="s">
        <v>3249</v>
      </c>
      <c r="E1241" s="3">
        <v>1</v>
      </c>
      <c r="F1241" s="3" t="s">
        <v>3220</v>
      </c>
      <c r="G1241" s="9">
        <v>53</v>
      </c>
      <c r="H1241" s="66">
        <v>1563.5</v>
      </c>
      <c r="I1241" s="9">
        <v>67.898400000000009</v>
      </c>
      <c r="J1241" s="10">
        <v>1.2811018867924531</v>
      </c>
      <c r="K1241" s="66">
        <v>786.86330055089263</v>
      </c>
      <c r="L1241" s="69">
        <v>2350.3633005508927</v>
      </c>
      <c r="M1241" s="64">
        <v>0</v>
      </c>
      <c r="N1241" s="67">
        <v>0</v>
      </c>
      <c r="O1241" s="64">
        <f t="shared" si="38"/>
        <v>2350.3633005508927</v>
      </c>
      <c r="P1241" s="64">
        <f t="shared" si="39"/>
        <v>44.34647736888477</v>
      </c>
    </row>
    <row r="1242" spans="1:16" ht="15">
      <c r="A1242" s="3" t="str">
        <f>"062521"</f>
        <v>062521</v>
      </c>
      <c r="B1242" s="3" t="s">
        <v>2655</v>
      </c>
      <c r="C1242" s="61" t="s">
        <v>3281</v>
      </c>
      <c r="D1242" s="3" t="s">
        <v>3249</v>
      </c>
      <c r="E1242" s="3">
        <v>1</v>
      </c>
      <c r="F1242" s="3" t="s">
        <v>3220</v>
      </c>
      <c r="G1242" s="9">
        <v>31</v>
      </c>
      <c r="H1242" s="66">
        <v>914.5</v>
      </c>
      <c r="I1242" s="9">
        <v>32.474800000000002</v>
      </c>
      <c r="J1242" s="10">
        <v>1.0475741935483871</v>
      </c>
      <c r="K1242" s="66">
        <v>77.891988109626354</v>
      </c>
      <c r="L1242" s="69">
        <v>992.39198810962637</v>
      </c>
      <c r="M1242" s="64">
        <v>0</v>
      </c>
      <c r="N1242" s="67">
        <v>0</v>
      </c>
      <c r="O1242" s="64">
        <f t="shared" si="38"/>
        <v>992.39198810962637</v>
      </c>
      <c r="P1242" s="64">
        <f t="shared" si="39"/>
        <v>32.012644777729882</v>
      </c>
    </row>
    <row r="1243" spans="1:16" ht="15">
      <c r="A1243" s="3" t="str">
        <f>"054338"</f>
        <v>054338</v>
      </c>
      <c r="B1243" s="3" t="s">
        <v>2871</v>
      </c>
      <c r="C1243" s="61" t="s">
        <v>3281</v>
      </c>
      <c r="D1243" s="3" t="s">
        <v>3249</v>
      </c>
      <c r="E1243" s="3">
        <v>1</v>
      </c>
      <c r="F1243" s="3" t="s">
        <v>3220</v>
      </c>
      <c r="G1243" s="9">
        <v>290</v>
      </c>
      <c r="H1243" s="66">
        <v>8555</v>
      </c>
      <c r="I1243" s="9">
        <v>313.19760000000002</v>
      </c>
      <c r="J1243" s="10">
        <v>1.0799917241379311</v>
      </c>
      <c r="K1243" s="66">
        <v>1225.1879464143392</v>
      </c>
      <c r="L1243" s="69">
        <v>9780.1879464143385</v>
      </c>
      <c r="M1243" s="64">
        <v>0</v>
      </c>
      <c r="N1243" s="67">
        <v>0</v>
      </c>
      <c r="O1243" s="64">
        <f t="shared" si="38"/>
        <v>9780.1879464143385</v>
      </c>
      <c r="P1243" s="64">
        <f t="shared" si="39"/>
        <v>33.724786022118408</v>
      </c>
    </row>
    <row r="1244" spans="1:16" ht="15">
      <c r="A1244" s="3" t="s">
        <v>213</v>
      </c>
      <c r="B1244" s="3" t="s">
        <v>1795</v>
      </c>
      <c r="C1244" s="61" t="s">
        <v>3281</v>
      </c>
      <c r="D1244" s="3" t="s">
        <v>1684</v>
      </c>
      <c r="E1244" s="3">
        <v>1</v>
      </c>
      <c r="F1244" s="3" t="s">
        <v>3266</v>
      </c>
      <c r="G1244" s="9">
        <v>218.545456</v>
      </c>
      <c r="H1244" s="66">
        <v>6447.0909520000005</v>
      </c>
      <c r="I1244" s="9">
        <v>302.03540242608301</v>
      </c>
      <c r="J1244" s="10">
        <v>1.3820255426682631</v>
      </c>
      <c r="K1244" s="66">
        <v>4409.5456429982296</v>
      </c>
      <c r="L1244" s="69">
        <v>10856.63659499823</v>
      </c>
      <c r="M1244" s="64">
        <v>0</v>
      </c>
      <c r="N1244" s="67">
        <v>0</v>
      </c>
      <c r="O1244" s="64">
        <f t="shared" si="38"/>
        <v>10856.63659499823</v>
      </c>
      <c r="P1244" s="64">
        <f t="shared" si="39"/>
        <v>49.676789413540725</v>
      </c>
    </row>
    <row r="1245" spans="1:16" ht="15">
      <c r="A1245" s="3" t="s">
        <v>203</v>
      </c>
      <c r="B1245" s="3" t="s">
        <v>204</v>
      </c>
      <c r="C1245" s="61" t="s">
        <v>3281</v>
      </c>
      <c r="D1245" s="3" t="s">
        <v>1684</v>
      </c>
      <c r="E1245" s="3">
        <v>1</v>
      </c>
      <c r="F1245" s="3" t="s">
        <v>3266</v>
      </c>
      <c r="G1245" s="9">
        <v>310.32772799999998</v>
      </c>
      <c r="H1245" s="66">
        <v>9154.6679759999988</v>
      </c>
      <c r="I1245" s="9">
        <v>425.41147704094499</v>
      </c>
      <c r="J1245" s="10">
        <v>1.3708458466880697</v>
      </c>
      <c r="K1245" s="66">
        <v>6078.1814564066308</v>
      </c>
      <c r="L1245" s="69">
        <v>15232.849432406631</v>
      </c>
      <c r="M1245" s="64">
        <v>0</v>
      </c>
      <c r="N1245" s="67">
        <v>0</v>
      </c>
      <c r="O1245" s="64">
        <f t="shared" si="38"/>
        <v>15232.849432406631</v>
      </c>
      <c r="P1245" s="64">
        <f t="shared" si="39"/>
        <v>49.086330540230136</v>
      </c>
    </row>
    <row r="1246" spans="1:16" ht="15">
      <c r="A1246" s="3" t="s">
        <v>109</v>
      </c>
      <c r="B1246" s="3" t="s">
        <v>110</v>
      </c>
      <c r="C1246" s="61" t="s">
        <v>3281</v>
      </c>
      <c r="D1246" s="3" t="s">
        <v>1684</v>
      </c>
      <c r="E1246" s="3">
        <v>1</v>
      </c>
      <c r="F1246" s="3" t="s">
        <v>3266</v>
      </c>
      <c r="G1246" s="9">
        <v>162.45087100000001</v>
      </c>
      <c r="H1246" s="66">
        <v>4792.3006944999997</v>
      </c>
      <c r="I1246" s="9">
        <v>209.74389013439199</v>
      </c>
      <c r="J1246" s="10">
        <v>1.291121979483828</v>
      </c>
      <c r="K1246" s="66">
        <v>2497.7944698158303</v>
      </c>
      <c r="L1246" s="69">
        <v>7290.0951643158296</v>
      </c>
      <c r="M1246" s="64">
        <v>0</v>
      </c>
      <c r="N1246" s="67">
        <v>0</v>
      </c>
      <c r="O1246" s="64">
        <f t="shared" si="38"/>
        <v>7290.0951643158296</v>
      </c>
      <c r="P1246" s="64">
        <f t="shared" si="39"/>
        <v>44.875691459455638</v>
      </c>
    </row>
    <row r="1247" spans="1:16" ht="15">
      <c r="A1247" s="3" t="s">
        <v>1378</v>
      </c>
      <c r="B1247" s="3" t="s">
        <v>1379</v>
      </c>
      <c r="C1247" s="61" t="s">
        <v>3281</v>
      </c>
      <c r="D1247" s="3" t="s">
        <v>3248</v>
      </c>
      <c r="E1247" s="3">
        <v>1</v>
      </c>
      <c r="F1247" s="3" t="s">
        <v>1909</v>
      </c>
      <c r="G1247" s="9">
        <v>5830.1375600000001</v>
      </c>
      <c r="H1247" s="66">
        <v>171989.05802</v>
      </c>
      <c r="I1247" s="9">
        <v>7422.3854703636198</v>
      </c>
      <c r="J1247" s="10">
        <v>1.2731064051194736</v>
      </c>
      <c r="K1247" s="66">
        <v>84095.033429360119</v>
      </c>
      <c r="L1247" s="69">
        <v>256084.09144936013</v>
      </c>
      <c r="M1247" s="64">
        <v>1927549.8710084469</v>
      </c>
      <c r="N1247" s="67">
        <v>38636.391121388951</v>
      </c>
      <c r="O1247" s="64">
        <f t="shared" si="38"/>
        <v>294720.48257074907</v>
      </c>
      <c r="P1247" s="64">
        <f t="shared" si="39"/>
        <v>50.551205616964729</v>
      </c>
    </row>
    <row r="1248" spans="1:16" ht="15">
      <c r="A1248" s="3" t="str">
        <f>"054429"</f>
        <v>054429</v>
      </c>
      <c r="B1248" s="3" t="s">
        <v>2671</v>
      </c>
      <c r="C1248" s="61" t="s">
        <v>3281</v>
      </c>
      <c r="D1248" s="3" t="s">
        <v>3249</v>
      </c>
      <c r="E1248" s="3">
        <v>1</v>
      </c>
      <c r="F1248" s="3" t="s">
        <v>3220</v>
      </c>
      <c r="G1248" s="9">
        <v>306</v>
      </c>
      <c r="H1248" s="66">
        <v>9027</v>
      </c>
      <c r="I1248" s="9">
        <v>372.69880000000001</v>
      </c>
      <c r="J1248" s="10">
        <v>1.2179699346405228</v>
      </c>
      <c r="K1248" s="66">
        <v>3522.7163930881065</v>
      </c>
      <c r="L1248" s="69">
        <v>12549.716393088107</v>
      </c>
      <c r="M1248" s="64">
        <v>0</v>
      </c>
      <c r="N1248" s="67">
        <v>0</v>
      </c>
      <c r="O1248" s="64">
        <f t="shared" si="38"/>
        <v>12549.716393088107</v>
      </c>
      <c r="P1248" s="64">
        <f t="shared" si="39"/>
        <v>41.012145075451329</v>
      </c>
    </row>
    <row r="1249" spans="1:16" ht="15">
      <c r="A1249" s="3" t="str">
        <f>"054445"</f>
        <v>054445</v>
      </c>
      <c r="B1249" s="3" t="s">
        <v>2923</v>
      </c>
      <c r="C1249" s="61" t="s">
        <v>3281</v>
      </c>
      <c r="D1249" s="3" t="s">
        <v>3249</v>
      </c>
      <c r="E1249" s="3">
        <v>1</v>
      </c>
      <c r="F1249" s="3" t="s">
        <v>3220</v>
      </c>
      <c r="G1249" s="9">
        <v>826</v>
      </c>
      <c r="H1249" s="66">
        <v>24367</v>
      </c>
      <c r="I1249" s="9">
        <v>865.81960000000004</v>
      </c>
      <c r="J1249" s="10">
        <v>1.0482077481840195</v>
      </c>
      <c r="K1249" s="66">
        <v>2103.0836789599107</v>
      </c>
      <c r="L1249" s="69">
        <v>26470.083678959913</v>
      </c>
      <c r="M1249" s="64">
        <v>0</v>
      </c>
      <c r="N1249" s="67">
        <v>0</v>
      </c>
      <c r="O1249" s="64">
        <f t="shared" si="38"/>
        <v>26470.083678959913</v>
      </c>
      <c r="P1249" s="64">
        <f t="shared" si="39"/>
        <v>32.046106148861881</v>
      </c>
    </row>
    <row r="1250" spans="1:16" ht="15">
      <c r="A1250" s="3" t="s">
        <v>1365</v>
      </c>
      <c r="B1250" s="3" t="s">
        <v>1366</v>
      </c>
      <c r="C1250" s="61" t="s">
        <v>3281</v>
      </c>
      <c r="D1250" s="3" t="s">
        <v>3248</v>
      </c>
      <c r="E1250" s="3">
        <v>1</v>
      </c>
      <c r="F1250" s="3" t="s">
        <v>1905</v>
      </c>
      <c r="G1250" s="9">
        <v>338.13843200000002</v>
      </c>
      <c r="H1250" s="66">
        <v>9975.0837440000014</v>
      </c>
      <c r="I1250" s="9">
        <v>493.59991056288601</v>
      </c>
      <c r="J1250" s="10">
        <v>1.4597569038318778</v>
      </c>
      <c r="K1250" s="66">
        <v>8210.7429073265739</v>
      </c>
      <c r="L1250" s="69">
        <v>18185.826651326577</v>
      </c>
      <c r="M1250" s="64">
        <v>592762.26033889875</v>
      </c>
      <c r="N1250" s="67">
        <v>11881.50557187421</v>
      </c>
      <c r="O1250" s="64">
        <f t="shared" si="38"/>
        <v>30067.332223200785</v>
      </c>
      <c r="P1250" s="64">
        <f t="shared" si="39"/>
        <v>88.920185869912544</v>
      </c>
    </row>
    <row r="1251" spans="1:16" ht="15">
      <c r="A1251" s="3" t="s">
        <v>668</v>
      </c>
      <c r="B1251" s="3" t="s">
        <v>1734</v>
      </c>
      <c r="C1251" s="61" t="s">
        <v>3281</v>
      </c>
      <c r="D1251" s="3" t="s">
        <v>3248</v>
      </c>
      <c r="E1251" s="3">
        <v>1</v>
      </c>
      <c r="F1251" s="3" t="s">
        <v>1906</v>
      </c>
      <c r="G1251" s="9">
        <v>7598.1364110000004</v>
      </c>
      <c r="H1251" s="66">
        <v>224145.02412450002</v>
      </c>
      <c r="I1251" s="9">
        <v>9371.5061948134098</v>
      </c>
      <c r="J1251" s="10">
        <v>1.2333953601104162</v>
      </c>
      <c r="K1251" s="66">
        <v>93661.037506620924</v>
      </c>
      <c r="L1251" s="69">
        <v>317806.06163112097</v>
      </c>
      <c r="M1251" s="64">
        <v>2893135.8459848827</v>
      </c>
      <c r="N1251" s="67">
        <v>57990.887703622277</v>
      </c>
      <c r="O1251" s="64">
        <f t="shared" si="38"/>
        <v>375796.94933474326</v>
      </c>
      <c r="P1251" s="64">
        <f t="shared" si="39"/>
        <v>49.45909483681988</v>
      </c>
    </row>
    <row r="1252" spans="1:16" ht="15">
      <c r="A1252" s="3" t="s">
        <v>172</v>
      </c>
      <c r="B1252" s="3" t="s">
        <v>173</v>
      </c>
      <c r="C1252" s="61" t="s">
        <v>3281</v>
      </c>
      <c r="D1252" s="3" t="s">
        <v>1684</v>
      </c>
      <c r="E1252" s="3">
        <v>1</v>
      </c>
      <c r="F1252" s="3" t="s">
        <v>3266</v>
      </c>
      <c r="G1252" s="9">
        <v>569.39227900000003</v>
      </c>
      <c r="H1252" s="66">
        <v>16797.072230500002</v>
      </c>
      <c r="I1252" s="9">
        <v>737.25251003788298</v>
      </c>
      <c r="J1252" s="10">
        <v>1.294805948778738</v>
      </c>
      <c r="K1252" s="66">
        <v>8865.5866016286236</v>
      </c>
      <c r="L1252" s="69">
        <v>25662.658832128625</v>
      </c>
      <c r="M1252" s="64">
        <v>247602.98</v>
      </c>
      <c r="N1252" s="67">
        <v>4963.0288284559383</v>
      </c>
      <c r="O1252" s="64">
        <f t="shared" si="38"/>
        <v>30625.687660584565</v>
      </c>
      <c r="P1252" s="64">
        <f t="shared" si="39"/>
        <v>53.786622667892836</v>
      </c>
    </row>
    <row r="1253" spans="1:16" ht="15">
      <c r="A1253" s="3" t="s">
        <v>1756</v>
      </c>
      <c r="B1253" s="3" t="s">
        <v>1757</v>
      </c>
      <c r="C1253" s="61" t="s">
        <v>3281</v>
      </c>
      <c r="D1253" s="3" t="s">
        <v>1684</v>
      </c>
      <c r="E1253" s="3">
        <v>1</v>
      </c>
      <c r="F1253" s="3" t="s">
        <v>3266</v>
      </c>
      <c r="G1253" s="9">
        <v>137.787508</v>
      </c>
      <c r="H1253" s="66">
        <v>4064.7314860000001</v>
      </c>
      <c r="I1253" s="9">
        <v>190.59012377869999</v>
      </c>
      <c r="J1253" s="10">
        <v>1.3832177281172686</v>
      </c>
      <c r="K1253" s="66">
        <v>2788.785408456511</v>
      </c>
      <c r="L1253" s="69">
        <v>6853.5168944565112</v>
      </c>
      <c r="M1253" s="64">
        <v>0</v>
      </c>
      <c r="N1253" s="67">
        <v>0</v>
      </c>
      <c r="O1253" s="64">
        <f t="shared" si="38"/>
        <v>6853.5168944565112</v>
      </c>
      <c r="P1253" s="64">
        <f t="shared" si="39"/>
        <v>49.739755032484595</v>
      </c>
    </row>
    <row r="1254" spans="1:16" ht="15">
      <c r="A1254" s="3" t="s">
        <v>111</v>
      </c>
      <c r="B1254" s="3" t="s">
        <v>1776</v>
      </c>
      <c r="C1254" s="61" t="s">
        <v>3281</v>
      </c>
      <c r="D1254" s="3" t="s">
        <v>1684</v>
      </c>
      <c r="E1254" s="3">
        <v>1</v>
      </c>
      <c r="F1254" s="3" t="s">
        <v>3266</v>
      </c>
      <c r="G1254" s="9">
        <v>123.41847300000001</v>
      </c>
      <c r="H1254" s="66">
        <v>3640.8449535</v>
      </c>
      <c r="I1254" s="9">
        <v>174.839490351233</v>
      </c>
      <c r="J1254" s="10">
        <v>1.4166395524212407</v>
      </c>
      <c r="K1254" s="66">
        <v>2715.8158883286715</v>
      </c>
      <c r="L1254" s="69">
        <v>6356.6608418286714</v>
      </c>
      <c r="M1254" s="64">
        <v>0</v>
      </c>
      <c r="N1254" s="67">
        <v>0</v>
      </c>
      <c r="O1254" s="64">
        <f t="shared" si="38"/>
        <v>6356.6608418286714</v>
      </c>
      <c r="P1254" s="64">
        <f t="shared" si="39"/>
        <v>51.50493833956827</v>
      </c>
    </row>
    <row r="1255" spans="1:16" ht="15">
      <c r="A1255" s="3" t="s">
        <v>1369</v>
      </c>
      <c r="B1255" s="3" t="s">
        <v>1370</v>
      </c>
      <c r="C1255" s="61" t="s">
        <v>3281</v>
      </c>
      <c r="D1255" s="3" t="s">
        <v>3248</v>
      </c>
      <c r="E1255" s="3">
        <v>1</v>
      </c>
      <c r="F1255" s="3" t="s">
        <v>1909</v>
      </c>
      <c r="G1255" s="9">
        <v>3885.6357659999999</v>
      </c>
      <c r="H1255" s="66">
        <v>114626.255097</v>
      </c>
      <c r="I1255" s="9">
        <v>4897.0027145895601</v>
      </c>
      <c r="J1255" s="10">
        <v>1.2602835184499792</v>
      </c>
      <c r="K1255" s="66">
        <v>53415.6376010354</v>
      </c>
      <c r="L1255" s="69">
        <v>168041.8926980354</v>
      </c>
      <c r="M1255" s="64">
        <v>2058941.000625931</v>
      </c>
      <c r="N1255" s="67">
        <v>41270.034561766632</v>
      </c>
      <c r="O1255" s="64">
        <f t="shared" si="38"/>
        <v>209311.92725980203</v>
      </c>
      <c r="P1255" s="64">
        <f t="shared" si="39"/>
        <v>53.868128631952182</v>
      </c>
    </row>
    <row r="1256" spans="1:16" ht="15">
      <c r="A1256" s="3" t="s">
        <v>333</v>
      </c>
      <c r="B1256" s="3" t="s">
        <v>334</v>
      </c>
      <c r="C1256" s="61" t="s">
        <v>3281</v>
      </c>
      <c r="D1256" s="3" t="s">
        <v>1684</v>
      </c>
      <c r="E1256" s="3">
        <v>1</v>
      </c>
      <c r="F1256" s="3" t="s">
        <v>3266</v>
      </c>
      <c r="G1256" s="9">
        <v>124.050614</v>
      </c>
      <c r="H1256" s="66">
        <v>3659.493113</v>
      </c>
      <c r="I1256" s="9">
        <v>185.906217764681</v>
      </c>
      <c r="J1256" s="10">
        <v>1.4986319839148963</v>
      </c>
      <c r="K1256" s="66">
        <v>3266.9215845892904</v>
      </c>
      <c r="L1256" s="69">
        <v>6926.4146975892909</v>
      </c>
      <c r="M1256" s="64">
        <v>0</v>
      </c>
      <c r="N1256" s="67">
        <v>0</v>
      </c>
      <c r="O1256" s="64">
        <f t="shared" si="38"/>
        <v>6926.4146975892909</v>
      </c>
      <c r="P1256" s="64">
        <f t="shared" si="39"/>
        <v>55.835392298737766</v>
      </c>
    </row>
    <row r="1257" spans="1:16" ht="15">
      <c r="A1257" s="3" t="s">
        <v>491</v>
      </c>
      <c r="B1257" s="3" t="s">
        <v>492</v>
      </c>
      <c r="C1257" s="61" t="s">
        <v>3281</v>
      </c>
      <c r="D1257" s="3" t="s">
        <v>456</v>
      </c>
      <c r="E1257" s="3">
        <v>1</v>
      </c>
      <c r="F1257" s="3" t="s">
        <v>1897</v>
      </c>
      <c r="G1257" s="9">
        <v>2026.2591629999999</v>
      </c>
      <c r="H1257" s="66">
        <v>59774.645308499996</v>
      </c>
      <c r="I1257" s="9">
        <v>2409.4064579091601</v>
      </c>
      <c r="J1257" s="10">
        <v>1.189090962254743</v>
      </c>
      <c r="K1257" s="66">
        <v>20236.035082248276</v>
      </c>
      <c r="L1257" s="69">
        <v>80010.680390748268</v>
      </c>
      <c r="M1257" s="64">
        <v>0</v>
      </c>
      <c r="N1257" s="67">
        <v>0</v>
      </c>
      <c r="O1257" s="64">
        <f t="shared" si="38"/>
        <v>80010.680390748268</v>
      </c>
      <c r="P1257" s="64">
        <f t="shared" si="39"/>
        <v>39.486893804979807</v>
      </c>
    </row>
    <row r="1258" spans="1:16" ht="15">
      <c r="A1258" s="3" t="s">
        <v>708</v>
      </c>
      <c r="B1258" s="3" t="s">
        <v>709</v>
      </c>
      <c r="C1258" s="61" t="s">
        <v>3281</v>
      </c>
      <c r="D1258" s="3" t="s">
        <v>3248</v>
      </c>
      <c r="E1258" s="3">
        <v>1</v>
      </c>
      <c r="F1258" s="3" t="s">
        <v>1906</v>
      </c>
      <c r="G1258" s="9">
        <v>5092.6926080000003</v>
      </c>
      <c r="H1258" s="66">
        <v>150234.43193600001</v>
      </c>
      <c r="I1258" s="9">
        <v>6392.5086793015698</v>
      </c>
      <c r="J1258" s="10">
        <v>1.255231597772015</v>
      </c>
      <c r="K1258" s="66">
        <v>68650.161357826801</v>
      </c>
      <c r="L1258" s="69">
        <v>218884.59329382679</v>
      </c>
      <c r="M1258" s="64">
        <v>2767961.6206933362</v>
      </c>
      <c r="N1258" s="67">
        <v>55481.857769081165</v>
      </c>
      <c r="O1258" s="64">
        <f t="shared" si="38"/>
        <v>274366.45106290793</v>
      </c>
      <c r="P1258" s="64">
        <f t="shared" si="39"/>
        <v>53.874535963924394</v>
      </c>
    </row>
    <row r="1259" spans="1:16" ht="15">
      <c r="A1259" s="3" t="str">
        <f>"122473"</f>
        <v>122473</v>
      </c>
      <c r="B1259" s="3" t="s">
        <v>2567</v>
      </c>
      <c r="C1259" s="61" t="s">
        <v>3281</v>
      </c>
      <c r="D1259" s="3" t="s">
        <v>3249</v>
      </c>
      <c r="E1259" s="3">
        <v>1</v>
      </c>
      <c r="F1259" s="3" t="s">
        <v>3220</v>
      </c>
      <c r="G1259" s="9">
        <v>114</v>
      </c>
      <c r="H1259" s="66">
        <v>3363</v>
      </c>
      <c r="I1259" s="9">
        <v>114</v>
      </c>
      <c r="J1259" s="10">
        <v>1</v>
      </c>
      <c r="K1259" s="66">
        <v>0</v>
      </c>
      <c r="L1259" s="69">
        <v>3363</v>
      </c>
      <c r="M1259" s="64">
        <v>0</v>
      </c>
      <c r="N1259" s="67">
        <v>0</v>
      </c>
      <c r="O1259" s="64">
        <f t="shared" si="38"/>
        <v>3363</v>
      </c>
      <c r="P1259" s="64">
        <f t="shared" si="39"/>
        <v>29.5</v>
      </c>
    </row>
    <row r="1260" spans="1:16" ht="15">
      <c r="A1260" s="3" t="str">
        <f>"013258"</f>
        <v>013258</v>
      </c>
      <c r="B1260" s="3" t="s">
        <v>2631</v>
      </c>
      <c r="C1260" s="61" t="s">
        <v>3281</v>
      </c>
      <c r="D1260" s="3" t="s">
        <v>3249</v>
      </c>
      <c r="E1260" s="3">
        <v>1</v>
      </c>
      <c r="F1260" s="3" t="s">
        <v>3220</v>
      </c>
      <c r="G1260" s="9">
        <v>68</v>
      </c>
      <c r="H1260" s="66">
        <v>2006</v>
      </c>
      <c r="I1260" s="9">
        <v>71</v>
      </c>
      <c r="J1260" s="10">
        <v>1.0441176470588236</v>
      </c>
      <c r="K1260" s="66">
        <v>158.44586678117625</v>
      </c>
      <c r="L1260" s="69">
        <v>2164.4458667811764</v>
      </c>
      <c r="M1260" s="64">
        <v>0</v>
      </c>
      <c r="N1260" s="67">
        <v>0</v>
      </c>
      <c r="O1260" s="64">
        <f t="shared" si="38"/>
        <v>2164.4458667811764</v>
      </c>
      <c r="P1260" s="64">
        <f t="shared" si="39"/>
        <v>31.830086276193772</v>
      </c>
    </row>
    <row r="1261" spans="1:16" ht="15">
      <c r="A1261" s="3" t="s">
        <v>1825</v>
      </c>
      <c r="B1261" s="3" t="s">
        <v>1826</v>
      </c>
      <c r="C1261" s="61" t="s">
        <v>3281</v>
      </c>
      <c r="D1261" s="3" t="s">
        <v>1684</v>
      </c>
      <c r="E1261" s="3">
        <v>1</v>
      </c>
      <c r="F1261" s="3" t="s">
        <v>3266</v>
      </c>
      <c r="G1261" s="9">
        <v>199.14371499999999</v>
      </c>
      <c r="H1261" s="66">
        <v>5874.7395924999992</v>
      </c>
      <c r="I1261" s="9">
        <v>260.01275947089403</v>
      </c>
      <c r="J1261" s="10">
        <v>1.3056538564166791</v>
      </c>
      <c r="K1261" s="66">
        <v>3214.8161704442564</v>
      </c>
      <c r="L1261" s="69">
        <v>9089.5557629442555</v>
      </c>
      <c r="M1261" s="64">
        <v>0</v>
      </c>
      <c r="N1261" s="67">
        <v>0</v>
      </c>
      <c r="O1261" s="64">
        <f t="shared" si="38"/>
        <v>9089.5557629442555</v>
      </c>
      <c r="P1261" s="64">
        <f t="shared" si="39"/>
        <v>45.643196738316625</v>
      </c>
    </row>
    <row r="1262" spans="1:16" ht="15">
      <c r="A1262" s="3" t="str">
        <f>"054601"</f>
        <v>054601</v>
      </c>
      <c r="B1262" s="3" t="s">
        <v>2968</v>
      </c>
      <c r="C1262" s="61" t="s">
        <v>3281</v>
      </c>
      <c r="D1262" s="3" t="s">
        <v>3249</v>
      </c>
      <c r="E1262" s="3">
        <v>1</v>
      </c>
      <c r="F1262" s="3" t="s">
        <v>3220</v>
      </c>
      <c r="G1262" s="9">
        <v>189</v>
      </c>
      <c r="H1262" s="66">
        <v>5575.5</v>
      </c>
      <c r="I1262" s="9">
        <v>207.76159999999999</v>
      </c>
      <c r="J1262" s="10">
        <v>1.0992677248677247</v>
      </c>
      <c r="K1262" s="66">
        <v>990.89932473390479</v>
      </c>
      <c r="L1262" s="69">
        <v>6566.3993247339049</v>
      </c>
      <c r="M1262" s="64">
        <v>0</v>
      </c>
      <c r="N1262" s="67">
        <v>0</v>
      </c>
      <c r="O1262" s="64">
        <f t="shared" si="38"/>
        <v>6566.3993247339049</v>
      </c>
      <c r="P1262" s="64">
        <f t="shared" si="39"/>
        <v>34.742853570020664</v>
      </c>
    </row>
    <row r="1263" spans="1:16" ht="15">
      <c r="A1263" s="3" t="s">
        <v>1371</v>
      </c>
      <c r="B1263" s="3" t="s">
        <v>1372</v>
      </c>
      <c r="C1263" s="61" t="s">
        <v>3281</v>
      </c>
      <c r="D1263" s="3" t="s">
        <v>3248</v>
      </c>
      <c r="E1263" s="3">
        <v>1</v>
      </c>
      <c r="F1263" s="3" t="s">
        <v>3223</v>
      </c>
      <c r="G1263" s="9">
        <v>1104.0130650000001</v>
      </c>
      <c r="H1263" s="66">
        <v>32568.385417500001</v>
      </c>
      <c r="I1263" s="9">
        <v>1362.5771195155901</v>
      </c>
      <c r="J1263" s="10">
        <v>1.2342037994954254</v>
      </c>
      <c r="K1263" s="66">
        <v>13656.135245392654</v>
      </c>
      <c r="L1263" s="69">
        <v>46224.520662892653</v>
      </c>
      <c r="M1263" s="64">
        <v>533078.30130146386</v>
      </c>
      <c r="N1263" s="67">
        <v>10685.182291358069</v>
      </c>
      <c r="O1263" s="64">
        <f t="shared" si="38"/>
        <v>56909.702954250723</v>
      </c>
      <c r="P1263" s="64">
        <f t="shared" si="39"/>
        <v>51.548033948539114</v>
      </c>
    </row>
    <row r="1264" spans="1:16" ht="15">
      <c r="A1264" s="3" t="str">
        <f>"088377"</f>
        <v>088377</v>
      </c>
      <c r="B1264" s="3" t="s">
        <v>3104</v>
      </c>
      <c r="C1264" s="61" t="s">
        <v>3281</v>
      </c>
      <c r="D1264" s="3" t="s">
        <v>3249</v>
      </c>
      <c r="E1264" s="3">
        <v>1</v>
      </c>
      <c r="F1264" s="3" t="s">
        <v>3220</v>
      </c>
      <c r="G1264" s="9">
        <v>11</v>
      </c>
      <c r="H1264" s="66">
        <v>324.5</v>
      </c>
      <c r="I1264" s="9">
        <v>11</v>
      </c>
      <c r="J1264" s="10">
        <v>1</v>
      </c>
      <c r="K1264" s="66">
        <v>0</v>
      </c>
      <c r="L1264" s="69">
        <v>324.5</v>
      </c>
      <c r="M1264" s="64">
        <v>0</v>
      </c>
      <c r="N1264" s="67">
        <v>0</v>
      </c>
      <c r="O1264" s="64">
        <f t="shared" si="38"/>
        <v>324.5</v>
      </c>
      <c r="P1264" s="64">
        <f t="shared" si="39"/>
        <v>29.5</v>
      </c>
    </row>
    <row r="1265" spans="1:16" ht="15">
      <c r="A1265" s="3" t="s">
        <v>431</v>
      </c>
      <c r="B1265" s="3" t="s">
        <v>432</v>
      </c>
      <c r="C1265" s="61" t="s">
        <v>3281</v>
      </c>
      <c r="D1265" s="3" t="s">
        <v>1684</v>
      </c>
      <c r="E1265" s="3">
        <v>1</v>
      </c>
      <c r="F1265" s="3" t="s">
        <v>3266</v>
      </c>
      <c r="G1265" s="9">
        <v>620.95238500000005</v>
      </c>
      <c r="H1265" s="66">
        <v>18318.095357500002</v>
      </c>
      <c r="I1265" s="9">
        <v>825.47229439199202</v>
      </c>
      <c r="J1265" s="10">
        <v>1.3293648826101085</v>
      </c>
      <c r="K1265" s="66">
        <v>10801.778105873933</v>
      </c>
      <c r="L1265" s="69">
        <v>29119.873463373937</v>
      </c>
      <c r="M1265" s="64">
        <v>0</v>
      </c>
      <c r="N1265" s="67">
        <v>0</v>
      </c>
      <c r="O1265" s="64">
        <f t="shared" si="38"/>
        <v>29119.873463373937</v>
      </c>
      <c r="P1265" s="64">
        <f t="shared" si="39"/>
        <v>46.89550143747968</v>
      </c>
    </row>
    <row r="1266" spans="1:16" ht="15">
      <c r="A1266" s="3" t="s">
        <v>1373</v>
      </c>
      <c r="B1266" s="3" t="s">
        <v>1374</v>
      </c>
      <c r="C1266" s="61" t="s">
        <v>3281</v>
      </c>
      <c r="D1266" s="3" t="s">
        <v>3248</v>
      </c>
      <c r="E1266" s="3">
        <v>1</v>
      </c>
      <c r="F1266" s="3" t="s">
        <v>1906</v>
      </c>
      <c r="G1266" s="9">
        <v>4931.1751119999999</v>
      </c>
      <c r="H1266" s="66">
        <v>145469.66580399999</v>
      </c>
      <c r="I1266" s="9">
        <v>5929.3815844027504</v>
      </c>
      <c r="J1266" s="10">
        <v>1.2024277073376726</v>
      </c>
      <c r="K1266" s="66">
        <v>52720.56324881137</v>
      </c>
      <c r="L1266" s="69">
        <v>198190.22905281137</v>
      </c>
      <c r="M1266" s="64">
        <v>2778976.1802390497</v>
      </c>
      <c r="N1266" s="67">
        <v>55702.636923508631</v>
      </c>
      <c r="O1266" s="64">
        <f t="shared" si="38"/>
        <v>253892.86597632</v>
      </c>
      <c r="P1266" s="64">
        <f t="shared" si="39"/>
        <v>51.487294652845009</v>
      </c>
    </row>
    <row r="1267" spans="1:16" ht="15">
      <c r="A1267" s="3" t="s">
        <v>1375</v>
      </c>
      <c r="B1267" s="3" t="s">
        <v>1276</v>
      </c>
      <c r="C1267" s="61" t="s">
        <v>3281</v>
      </c>
      <c r="D1267" s="3" t="s">
        <v>3248</v>
      </c>
      <c r="E1267" s="3">
        <v>1</v>
      </c>
      <c r="F1267" s="3" t="s">
        <v>1905</v>
      </c>
      <c r="G1267" s="9">
        <v>1544.523717</v>
      </c>
      <c r="H1267" s="66">
        <v>45563.449651499999</v>
      </c>
      <c r="I1267" s="9">
        <v>2140.61881932806</v>
      </c>
      <c r="J1267" s="10">
        <v>1.3859410482125085</v>
      </c>
      <c r="K1267" s="66">
        <v>31482.935057461138</v>
      </c>
      <c r="L1267" s="69">
        <v>77046.384708961137</v>
      </c>
      <c r="M1267" s="64">
        <v>951422.96770340588</v>
      </c>
      <c r="N1267" s="67">
        <v>19070.608991729849</v>
      </c>
      <c r="O1267" s="64">
        <f t="shared" si="38"/>
        <v>96116.993700690989</v>
      </c>
      <c r="P1267" s="64">
        <f t="shared" si="39"/>
        <v>62.230830541976708</v>
      </c>
    </row>
    <row r="1268" spans="1:16" ht="15">
      <c r="A1268" s="3" t="s">
        <v>744</v>
      </c>
      <c r="B1268" s="3" t="s">
        <v>745</v>
      </c>
      <c r="C1268" s="61" t="s">
        <v>3281</v>
      </c>
      <c r="D1268" s="3" t="s">
        <v>3248</v>
      </c>
      <c r="E1268" s="3">
        <v>1</v>
      </c>
      <c r="F1268" s="3" t="s">
        <v>1907</v>
      </c>
      <c r="G1268" s="9">
        <v>2033.315707</v>
      </c>
      <c r="H1268" s="66">
        <v>59982.813356500003</v>
      </c>
      <c r="I1268" s="9">
        <v>2285.1937737846501</v>
      </c>
      <c r="J1268" s="10">
        <v>1.1238755329128287</v>
      </c>
      <c r="K1268" s="66">
        <v>13303.0128716203</v>
      </c>
      <c r="L1268" s="69">
        <v>73285.826228120306</v>
      </c>
      <c r="M1268" s="64">
        <v>0</v>
      </c>
      <c r="N1268" s="67">
        <v>0</v>
      </c>
      <c r="O1268" s="64">
        <f t="shared" si="38"/>
        <v>73285.826228120306</v>
      </c>
      <c r="P1268" s="64">
        <f t="shared" si="39"/>
        <v>36.042522061784432</v>
      </c>
    </row>
    <row r="1269" spans="1:16" ht="15">
      <c r="A1269" s="3" t="str">
        <f>"054544"</f>
        <v>054544</v>
      </c>
      <c r="B1269" s="3" t="s">
        <v>3028</v>
      </c>
      <c r="C1269" s="61" t="s">
        <v>3281</v>
      </c>
      <c r="D1269" s="3" t="s">
        <v>3249</v>
      </c>
      <c r="E1269" s="3">
        <v>1</v>
      </c>
      <c r="F1269" s="3" t="s">
        <v>3220</v>
      </c>
      <c r="G1269" s="9">
        <v>180</v>
      </c>
      <c r="H1269" s="66">
        <v>5310</v>
      </c>
      <c r="I1269" s="9">
        <v>228.53759999999997</v>
      </c>
      <c r="J1269" s="10">
        <v>1.2696533333333331</v>
      </c>
      <c r="K1269" s="66">
        <v>2563.527367826005</v>
      </c>
      <c r="L1269" s="69">
        <v>7873.5273678260055</v>
      </c>
      <c r="M1269" s="64">
        <v>0</v>
      </c>
      <c r="N1269" s="67">
        <v>0</v>
      </c>
      <c r="O1269" s="64">
        <f t="shared" si="38"/>
        <v>7873.5273678260055</v>
      </c>
      <c r="P1269" s="64">
        <f t="shared" si="39"/>
        <v>43.741818710144472</v>
      </c>
    </row>
    <row r="1270" spans="1:16" ht="15">
      <c r="A1270" s="3" t="s">
        <v>1685</v>
      </c>
      <c r="B1270" s="3" t="s">
        <v>1763</v>
      </c>
      <c r="C1270" s="61" t="s">
        <v>3281</v>
      </c>
      <c r="D1270" s="3" t="s">
        <v>1684</v>
      </c>
      <c r="E1270" s="3">
        <v>1</v>
      </c>
      <c r="F1270" s="3" t="s">
        <v>3266</v>
      </c>
      <c r="G1270" s="9">
        <v>744.81381999999996</v>
      </c>
      <c r="H1270" s="66">
        <v>21972.007689999999</v>
      </c>
      <c r="I1270" s="9">
        <v>983.93936202545297</v>
      </c>
      <c r="J1270" s="10">
        <v>1.3210541152760202</v>
      </c>
      <c r="K1270" s="66">
        <v>12629.48459191383</v>
      </c>
      <c r="L1270" s="69">
        <v>34601.49228191383</v>
      </c>
      <c r="M1270" s="64">
        <v>0</v>
      </c>
      <c r="N1270" s="67">
        <v>0</v>
      </c>
      <c r="O1270" s="64">
        <f t="shared" si="38"/>
        <v>34601.49228191383</v>
      </c>
      <c r="P1270" s="64">
        <f t="shared" si="39"/>
        <v>46.45656585952424</v>
      </c>
    </row>
    <row r="1271" spans="1:16" ht="15">
      <c r="A1271" s="3" t="s">
        <v>355</v>
      </c>
      <c r="B1271" s="3" t="s">
        <v>356</v>
      </c>
      <c r="C1271" s="61" t="s">
        <v>3281</v>
      </c>
      <c r="D1271" s="3" t="s">
        <v>1684</v>
      </c>
      <c r="E1271" s="3">
        <v>1</v>
      </c>
      <c r="F1271" s="3" t="s">
        <v>3266</v>
      </c>
      <c r="G1271" s="9">
        <v>364.44047799999998</v>
      </c>
      <c r="H1271" s="66">
        <v>10750.994101</v>
      </c>
      <c r="I1271" s="9">
        <v>452.34371238474802</v>
      </c>
      <c r="J1271" s="10">
        <v>1.2412005243411739</v>
      </c>
      <c r="K1271" s="66">
        <v>4642.6347216534332</v>
      </c>
      <c r="L1271" s="69">
        <v>15393.628822653434</v>
      </c>
      <c r="M1271" s="64">
        <v>0</v>
      </c>
      <c r="N1271" s="67">
        <v>0</v>
      </c>
      <c r="O1271" s="64">
        <f t="shared" si="38"/>
        <v>15393.628822653434</v>
      </c>
      <c r="P1271" s="64">
        <f t="shared" si="39"/>
        <v>42.239075382437171</v>
      </c>
    </row>
    <row r="1272" spans="1:16" ht="15">
      <c r="A1272" s="3" t="str">
        <f>"097931"</f>
        <v>097931</v>
      </c>
      <c r="B1272" s="3" t="s">
        <v>3089</v>
      </c>
      <c r="C1272" s="61" t="s">
        <v>3281</v>
      </c>
      <c r="D1272" s="3" t="s">
        <v>3249</v>
      </c>
      <c r="E1272" s="3">
        <v>1</v>
      </c>
      <c r="F1272" s="3" t="s">
        <v>3220</v>
      </c>
      <c r="G1272" s="9">
        <v>123</v>
      </c>
      <c r="H1272" s="66">
        <v>3628.5</v>
      </c>
      <c r="I1272" s="9">
        <v>123</v>
      </c>
      <c r="J1272" s="10">
        <v>1</v>
      </c>
      <c r="K1272" s="66">
        <v>0</v>
      </c>
      <c r="L1272" s="69">
        <v>3628.5</v>
      </c>
      <c r="M1272" s="64">
        <v>0</v>
      </c>
      <c r="N1272" s="67">
        <v>0</v>
      </c>
      <c r="O1272" s="64">
        <f t="shared" si="38"/>
        <v>3628.5</v>
      </c>
      <c r="P1272" s="64">
        <f t="shared" si="39"/>
        <v>29.5</v>
      </c>
    </row>
    <row r="1273" spans="1:16" ht="15">
      <c r="A1273" s="3" t="str">
        <f>"052936"</f>
        <v>052936</v>
      </c>
      <c r="B1273" s="3" t="s">
        <v>3145</v>
      </c>
      <c r="C1273" s="61" t="s">
        <v>3281</v>
      </c>
      <c r="D1273" s="3" t="s">
        <v>3249</v>
      </c>
      <c r="E1273" s="3">
        <v>1</v>
      </c>
      <c r="F1273" s="3" t="s">
        <v>3220</v>
      </c>
      <c r="G1273" s="9">
        <v>429</v>
      </c>
      <c r="H1273" s="66">
        <v>12655.5</v>
      </c>
      <c r="I1273" s="9">
        <v>429</v>
      </c>
      <c r="J1273" s="10">
        <v>1</v>
      </c>
      <c r="K1273" s="66">
        <v>0</v>
      </c>
      <c r="L1273" s="69">
        <v>12655.5</v>
      </c>
      <c r="M1273" s="64">
        <v>0</v>
      </c>
      <c r="N1273" s="67">
        <v>0</v>
      </c>
      <c r="O1273" s="64">
        <f t="shared" si="38"/>
        <v>12655.5</v>
      </c>
      <c r="P1273" s="64">
        <f t="shared" si="39"/>
        <v>29.5</v>
      </c>
    </row>
    <row r="1274" spans="1:16" ht="15">
      <c r="A1274" s="3" t="str">
        <f>"054692"</f>
        <v>054692</v>
      </c>
      <c r="B1274" s="3" t="s">
        <v>2863</v>
      </c>
      <c r="C1274" s="61" t="s">
        <v>3281</v>
      </c>
      <c r="D1274" s="3" t="s">
        <v>3249</v>
      </c>
      <c r="E1274" s="3">
        <v>1</v>
      </c>
      <c r="F1274" s="3" t="s">
        <v>3220</v>
      </c>
      <c r="G1274" s="9">
        <v>266</v>
      </c>
      <c r="H1274" s="66">
        <v>7847</v>
      </c>
      <c r="I1274" s="9">
        <v>289.96019999999999</v>
      </c>
      <c r="J1274" s="10">
        <v>1.090075939849624</v>
      </c>
      <c r="K1274" s="66">
        <v>1265.4648857501124</v>
      </c>
      <c r="L1274" s="69">
        <v>9112.4648857501124</v>
      </c>
      <c r="M1274" s="64">
        <v>0</v>
      </c>
      <c r="N1274" s="67">
        <v>0</v>
      </c>
      <c r="O1274" s="64">
        <f t="shared" si="38"/>
        <v>9112.4648857501124</v>
      </c>
      <c r="P1274" s="64">
        <f t="shared" si="39"/>
        <v>34.257386788534255</v>
      </c>
    </row>
    <row r="1275" spans="1:16" ht="15">
      <c r="A1275" s="3" t="str">
        <f>"054775"</f>
        <v>054775</v>
      </c>
      <c r="B1275" s="3" t="s">
        <v>2665</v>
      </c>
      <c r="C1275" s="61" t="s">
        <v>3281</v>
      </c>
      <c r="D1275" s="3" t="s">
        <v>3249</v>
      </c>
      <c r="E1275" s="3">
        <v>1</v>
      </c>
      <c r="F1275" s="3" t="s">
        <v>3220</v>
      </c>
      <c r="G1275" s="9">
        <v>194</v>
      </c>
      <c r="H1275" s="66">
        <v>5723</v>
      </c>
      <c r="I1275" s="9">
        <v>232.2816</v>
      </c>
      <c r="J1275" s="10">
        <v>1.1973278350515464</v>
      </c>
      <c r="K1275" s="66">
        <v>2021.8537645900919</v>
      </c>
      <c r="L1275" s="69">
        <v>7744.8537645900924</v>
      </c>
      <c r="M1275" s="64">
        <v>0</v>
      </c>
      <c r="N1275" s="67">
        <v>0</v>
      </c>
      <c r="O1275" s="64">
        <f t="shared" si="38"/>
        <v>7744.8537645900924</v>
      </c>
      <c r="P1275" s="64">
        <f t="shared" si="39"/>
        <v>39.921926621598416</v>
      </c>
    </row>
    <row r="1276" spans="1:16" ht="15">
      <c r="A1276" s="3" t="str">
        <f>"054916"</f>
        <v>054916</v>
      </c>
      <c r="B1276" s="3" t="s">
        <v>2835</v>
      </c>
      <c r="C1276" s="61" t="s">
        <v>3281</v>
      </c>
      <c r="D1276" s="3" t="s">
        <v>3249</v>
      </c>
      <c r="E1276" s="3">
        <v>1</v>
      </c>
      <c r="F1276" s="3" t="s">
        <v>3220</v>
      </c>
      <c r="G1276" s="9">
        <v>398</v>
      </c>
      <c r="H1276" s="66">
        <v>11741</v>
      </c>
      <c r="I1276" s="9">
        <v>415.85159999999996</v>
      </c>
      <c r="J1276" s="10">
        <v>1.0448532663316581</v>
      </c>
      <c r="K1276" s="66">
        <v>942.83741181028006</v>
      </c>
      <c r="L1276" s="69">
        <v>12683.83741181028</v>
      </c>
      <c r="M1276" s="64">
        <v>0</v>
      </c>
      <c r="N1276" s="67">
        <v>0</v>
      </c>
      <c r="O1276" s="64">
        <f t="shared" si="38"/>
        <v>12683.83741181028</v>
      </c>
      <c r="P1276" s="64">
        <f t="shared" si="39"/>
        <v>31.868938220628845</v>
      </c>
    </row>
    <row r="1277" spans="1:16" ht="15">
      <c r="A1277" s="3" t="str">
        <f>"054932"</f>
        <v>054932</v>
      </c>
      <c r="B1277" s="3" t="s">
        <v>2797</v>
      </c>
      <c r="C1277" s="61" t="s">
        <v>3281</v>
      </c>
      <c r="D1277" s="3" t="s">
        <v>3249</v>
      </c>
      <c r="E1277" s="3">
        <v>1</v>
      </c>
      <c r="F1277" s="3" t="s">
        <v>3220</v>
      </c>
      <c r="G1277" s="9">
        <v>250</v>
      </c>
      <c r="H1277" s="66">
        <v>7375</v>
      </c>
      <c r="I1277" s="9">
        <v>263.8236</v>
      </c>
      <c r="J1277" s="10">
        <v>1.0552944</v>
      </c>
      <c r="K1277" s="66">
        <v>730.09742801208927</v>
      </c>
      <c r="L1277" s="69">
        <v>8105.097428012089</v>
      </c>
      <c r="M1277" s="64">
        <v>0</v>
      </c>
      <c r="N1277" s="67">
        <v>0</v>
      </c>
      <c r="O1277" s="64">
        <f t="shared" si="38"/>
        <v>8105.097428012089</v>
      </c>
      <c r="P1277" s="64">
        <f t="shared" si="39"/>
        <v>32.420389712048355</v>
      </c>
    </row>
    <row r="1278" spans="1:16" ht="15">
      <c r="A1278" s="3" t="str">
        <f>"055053"</f>
        <v>055053</v>
      </c>
      <c r="B1278" s="3" t="s">
        <v>2754</v>
      </c>
      <c r="C1278" s="61" t="s">
        <v>3281</v>
      </c>
      <c r="D1278" s="3" t="s">
        <v>3249</v>
      </c>
      <c r="E1278" s="3">
        <v>1</v>
      </c>
      <c r="F1278" s="3" t="s">
        <v>3220</v>
      </c>
      <c r="G1278" s="9">
        <v>393</v>
      </c>
      <c r="H1278" s="66">
        <v>11593.5</v>
      </c>
      <c r="I1278" s="9">
        <v>452.75760000000002</v>
      </c>
      <c r="J1278" s="10">
        <v>1.1520549618320612</v>
      </c>
      <c r="K1278" s="66">
        <v>3156.1149095876076</v>
      </c>
      <c r="L1278" s="69">
        <v>14749.614909587608</v>
      </c>
      <c r="M1278" s="64">
        <v>0</v>
      </c>
      <c r="N1278" s="67">
        <v>0</v>
      </c>
      <c r="O1278" s="64">
        <f t="shared" si="38"/>
        <v>14749.614909587608</v>
      </c>
      <c r="P1278" s="64">
        <f t="shared" si="39"/>
        <v>37.530826741953199</v>
      </c>
    </row>
    <row r="1279" spans="1:16" ht="15">
      <c r="A1279" s="3" t="str">
        <f>"055442"</f>
        <v>055442</v>
      </c>
      <c r="B1279" s="3" t="s">
        <v>2673</v>
      </c>
      <c r="C1279" s="61" t="s">
        <v>3281</v>
      </c>
      <c r="D1279" s="3" t="s">
        <v>3249</v>
      </c>
      <c r="E1279" s="3">
        <v>1</v>
      </c>
      <c r="F1279" s="3" t="s">
        <v>3220</v>
      </c>
      <c r="G1279" s="9">
        <v>415</v>
      </c>
      <c r="H1279" s="66">
        <v>12242.5</v>
      </c>
      <c r="I1279" s="9">
        <v>436.57319999999999</v>
      </c>
      <c r="J1279" s="10">
        <v>1.0519836144578314</v>
      </c>
      <c r="K1279" s="66">
        <v>1139.394791081223</v>
      </c>
      <c r="L1279" s="69">
        <v>13381.894791081224</v>
      </c>
      <c r="M1279" s="64">
        <v>0</v>
      </c>
      <c r="N1279" s="67">
        <v>0</v>
      </c>
      <c r="O1279" s="64">
        <f t="shared" si="38"/>
        <v>13381.894791081224</v>
      </c>
      <c r="P1279" s="64">
        <f t="shared" si="39"/>
        <v>32.245529617063191</v>
      </c>
    </row>
    <row r="1280" spans="1:16" ht="15">
      <c r="A1280" s="3" t="str">
        <f>"054288"</f>
        <v>054288</v>
      </c>
      <c r="B1280" s="3" t="s">
        <v>2791</v>
      </c>
      <c r="C1280" s="61" t="s">
        <v>3281</v>
      </c>
      <c r="D1280" s="3" t="s">
        <v>3249</v>
      </c>
      <c r="E1280" s="3">
        <v>1</v>
      </c>
      <c r="F1280" s="3" t="s">
        <v>3220</v>
      </c>
      <c r="G1280" s="9">
        <v>142</v>
      </c>
      <c r="H1280" s="66">
        <v>4189</v>
      </c>
      <c r="I1280" s="9">
        <v>167.02359999999999</v>
      </c>
      <c r="J1280" s="10">
        <v>1.1762225352112676</v>
      </c>
      <c r="K1280" s="66">
        <v>1321.6286639951468</v>
      </c>
      <c r="L1280" s="69">
        <v>5510.6286639951468</v>
      </c>
      <c r="M1280" s="64">
        <v>0</v>
      </c>
      <c r="N1280" s="67">
        <v>0</v>
      </c>
      <c r="O1280" s="64">
        <f t="shared" si="38"/>
        <v>5510.6286639951468</v>
      </c>
      <c r="P1280" s="64">
        <f t="shared" si="39"/>
        <v>38.807244112641875</v>
      </c>
    </row>
    <row r="1281" spans="1:16" ht="15">
      <c r="A1281" s="3" t="s">
        <v>18</v>
      </c>
      <c r="B1281" s="3" t="s">
        <v>19</v>
      </c>
      <c r="C1281" s="61" t="s">
        <v>3281</v>
      </c>
      <c r="D1281" s="3" t="s">
        <v>1684</v>
      </c>
      <c r="E1281" s="3">
        <v>1</v>
      </c>
      <c r="F1281" s="3" t="s">
        <v>3266</v>
      </c>
      <c r="G1281" s="9">
        <v>78.438565999999994</v>
      </c>
      <c r="H1281" s="66">
        <v>2313.9376969999998</v>
      </c>
      <c r="I1281" s="9">
        <v>298.15630129627198</v>
      </c>
      <c r="J1281" s="10">
        <v>3.8011442138841751</v>
      </c>
      <c r="K1281" s="66">
        <v>11604.455672071619</v>
      </c>
      <c r="L1281" s="69">
        <v>13918.393369071619</v>
      </c>
      <c r="M1281" s="64">
        <v>0</v>
      </c>
      <c r="N1281" s="67">
        <v>0</v>
      </c>
      <c r="O1281" s="64">
        <f t="shared" si="38"/>
        <v>13918.393369071619</v>
      </c>
      <c r="P1281" s="64">
        <f t="shared" si="39"/>
        <v>177.44324098265156</v>
      </c>
    </row>
    <row r="1282" spans="1:16" ht="15">
      <c r="A1282" s="3" t="s">
        <v>87</v>
      </c>
      <c r="B1282" s="3" t="s">
        <v>88</v>
      </c>
      <c r="C1282" s="61" t="s">
        <v>3281</v>
      </c>
      <c r="D1282" s="3" t="s">
        <v>1684</v>
      </c>
      <c r="E1282" s="3">
        <v>1</v>
      </c>
      <c r="F1282" s="3" t="s">
        <v>3266</v>
      </c>
      <c r="G1282" s="9">
        <v>171.06753800000001</v>
      </c>
      <c r="H1282" s="66">
        <v>5046.4923710000003</v>
      </c>
      <c r="I1282" s="9">
        <v>437.63175294589303</v>
      </c>
      <c r="J1282" s="10">
        <v>2.5582396173018696</v>
      </c>
      <c r="K1282" s="66">
        <v>14078.66602998193</v>
      </c>
      <c r="L1282" s="69">
        <v>19125.158400981931</v>
      </c>
      <c r="M1282" s="64">
        <v>0</v>
      </c>
      <c r="N1282" s="67">
        <v>0</v>
      </c>
      <c r="O1282" s="64">
        <f t="shared" si="38"/>
        <v>19125.158400981931</v>
      </c>
      <c r="P1282" s="64">
        <f t="shared" si="39"/>
        <v>111.79887560538768</v>
      </c>
    </row>
    <row r="1283" spans="1:16" ht="15">
      <c r="A1283" s="3" t="str">
        <f>"017153"</f>
        <v>017153</v>
      </c>
      <c r="B1283" s="3" t="s">
        <v>3169</v>
      </c>
      <c r="C1283" s="61" t="s">
        <v>3281</v>
      </c>
      <c r="D1283" s="3" t="s">
        <v>3249</v>
      </c>
      <c r="E1283" s="3">
        <v>1</v>
      </c>
      <c r="F1283" s="3" t="s">
        <v>3220</v>
      </c>
      <c r="G1283" s="9">
        <v>17</v>
      </c>
      <c r="H1283" s="66">
        <v>501.5</v>
      </c>
      <c r="I1283" s="9">
        <v>17</v>
      </c>
      <c r="J1283" s="10">
        <v>1</v>
      </c>
      <c r="K1283" s="66">
        <v>0</v>
      </c>
      <c r="L1283" s="69">
        <v>501.5</v>
      </c>
      <c r="M1283" s="64">
        <v>0</v>
      </c>
      <c r="N1283" s="67">
        <v>0</v>
      </c>
      <c r="O1283" s="64">
        <f t="shared" ref="O1283:O1346" si="40">(N1283+L1283)</f>
        <v>501.5</v>
      </c>
      <c r="P1283" s="64">
        <f t="shared" ref="P1283:P1346" si="41">O1283/G1283</f>
        <v>29.5</v>
      </c>
    </row>
    <row r="1284" spans="1:16" ht="15">
      <c r="A1284" s="3" t="str">
        <f>"067637"</f>
        <v>067637</v>
      </c>
      <c r="B1284" s="3" t="s">
        <v>2584</v>
      </c>
      <c r="C1284" s="61" t="s">
        <v>3281</v>
      </c>
      <c r="D1284" s="3" t="s">
        <v>3249</v>
      </c>
      <c r="E1284" s="3">
        <v>1</v>
      </c>
      <c r="F1284" s="3" t="s">
        <v>3220</v>
      </c>
      <c r="G1284" s="9">
        <v>433</v>
      </c>
      <c r="H1284" s="66">
        <v>12773.5</v>
      </c>
      <c r="I1284" s="9">
        <v>433</v>
      </c>
      <c r="J1284" s="10">
        <v>1</v>
      </c>
      <c r="K1284" s="66">
        <v>0</v>
      </c>
      <c r="L1284" s="69">
        <v>12773.5</v>
      </c>
      <c r="M1284" s="64">
        <v>0</v>
      </c>
      <c r="N1284" s="67">
        <v>0</v>
      </c>
      <c r="O1284" s="64">
        <f t="shared" si="40"/>
        <v>12773.5</v>
      </c>
      <c r="P1284" s="64">
        <f t="shared" si="41"/>
        <v>29.5</v>
      </c>
    </row>
    <row r="1285" spans="1:16" ht="15">
      <c r="A1285" s="3" t="s">
        <v>418</v>
      </c>
      <c r="B1285" s="3" t="s">
        <v>1723</v>
      </c>
      <c r="C1285" s="61" t="s">
        <v>3281</v>
      </c>
      <c r="D1285" s="3" t="s">
        <v>1684</v>
      </c>
      <c r="E1285" s="3">
        <v>1</v>
      </c>
      <c r="F1285" s="3" t="s">
        <v>3266</v>
      </c>
      <c r="G1285" s="9">
        <v>317.34766200000001</v>
      </c>
      <c r="H1285" s="66">
        <v>9361.7560290000001</v>
      </c>
      <c r="I1285" s="9">
        <v>450.42768040429701</v>
      </c>
      <c r="J1285" s="10">
        <v>1.4193508707944948</v>
      </c>
      <c r="K1285" s="66">
        <v>7028.6596224412415</v>
      </c>
      <c r="L1285" s="69">
        <v>16390.415651441243</v>
      </c>
      <c r="M1285" s="64">
        <v>0</v>
      </c>
      <c r="N1285" s="67">
        <v>0</v>
      </c>
      <c r="O1285" s="64">
        <f t="shared" si="40"/>
        <v>16390.415651441243</v>
      </c>
      <c r="P1285" s="64">
        <f t="shared" si="41"/>
        <v>51.648137402824922</v>
      </c>
    </row>
    <row r="1286" spans="1:16" ht="15">
      <c r="A1286" s="3" t="s">
        <v>1367</v>
      </c>
      <c r="B1286" s="3" t="s">
        <v>1368</v>
      </c>
      <c r="C1286" s="61" t="s">
        <v>3281</v>
      </c>
      <c r="D1286" s="3" t="s">
        <v>3248</v>
      </c>
      <c r="E1286" s="3">
        <v>1</v>
      </c>
      <c r="F1286" s="3" t="s">
        <v>1909</v>
      </c>
      <c r="G1286" s="9">
        <v>2570.8832539999999</v>
      </c>
      <c r="H1286" s="66">
        <v>75841.055993000002</v>
      </c>
      <c r="I1286" s="9">
        <v>3624.5064577039702</v>
      </c>
      <c r="J1286" s="10">
        <v>1.4098292686237903</v>
      </c>
      <c r="K1286" s="66">
        <v>55647.41392387847</v>
      </c>
      <c r="L1286" s="69">
        <v>131488.46991687847</v>
      </c>
      <c r="M1286" s="64">
        <v>1807752.1815008174</v>
      </c>
      <c r="N1286" s="67">
        <v>36235.130092104169</v>
      </c>
      <c r="O1286" s="64">
        <f t="shared" si="40"/>
        <v>167723.60000898264</v>
      </c>
      <c r="P1286" s="64">
        <f t="shared" si="41"/>
        <v>65.239679689081143</v>
      </c>
    </row>
    <row r="1287" spans="1:16" ht="15">
      <c r="A1287" s="3" t="s">
        <v>1714</v>
      </c>
      <c r="B1287" s="3" t="s">
        <v>1715</v>
      </c>
      <c r="C1287" s="61" t="s">
        <v>3281</v>
      </c>
      <c r="D1287" s="3" t="s">
        <v>1684</v>
      </c>
      <c r="E1287" s="3">
        <v>1</v>
      </c>
      <c r="F1287" s="3" t="s">
        <v>3266</v>
      </c>
      <c r="G1287" s="9">
        <v>81.045203999999998</v>
      </c>
      <c r="H1287" s="66">
        <v>2390.8335179999999</v>
      </c>
      <c r="I1287" s="9">
        <v>109.13313660745</v>
      </c>
      <c r="J1287" s="10">
        <v>1.3465711876973003</v>
      </c>
      <c r="K1287" s="66">
        <v>1483.4722760262264</v>
      </c>
      <c r="L1287" s="69">
        <v>3874.3057940262261</v>
      </c>
      <c r="M1287" s="64">
        <v>0</v>
      </c>
      <c r="N1287" s="67">
        <v>0</v>
      </c>
      <c r="O1287" s="64">
        <f t="shared" si="40"/>
        <v>3874.3057940262261</v>
      </c>
      <c r="P1287" s="64">
        <f t="shared" si="41"/>
        <v>47.804257412026828</v>
      </c>
    </row>
    <row r="1288" spans="1:16" ht="15">
      <c r="A1288" s="3" t="s">
        <v>1376</v>
      </c>
      <c r="B1288" s="3" t="s">
        <v>1377</v>
      </c>
      <c r="C1288" s="61" t="s">
        <v>3281</v>
      </c>
      <c r="D1288" s="3" t="s">
        <v>3248</v>
      </c>
      <c r="E1288" s="3">
        <v>1</v>
      </c>
      <c r="F1288" s="3" t="s">
        <v>1904</v>
      </c>
      <c r="G1288" s="9">
        <v>1781.401912</v>
      </c>
      <c r="H1288" s="66">
        <v>52551.356403999998</v>
      </c>
      <c r="I1288" s="9">
        <v>2100.2688246231301</v>
      </c>
      <c r="J1288" s="10">
        <v>1.1789977379473757</v>
      </c>
      <c r="K1288" s="66">
        <v>16841.048119469808</v>
      </c>
      <c r="L1288" s="69">
        <v>69392.404523469799</v>
      </c>
      <c r="M1288" s="64">
        <v>1308911.5503776297</v>
      </c>
      <c r="N1288" s="67">
        <v>26236.217990684658</v>
      </c>
      <c r="O1288" s="64">
        <f t="shared" si="40"/>
        <v>95628.622514154456</v>
      </c>
      <c r="P1288" s="64">
        <f t="shared" si="41"/>
        <v>53.681666035033679</v>
      </c>
    </row>
    <row r="1289" spans="1:16" ht="15">
      <c r="A1289" s="3" t="s">
        <v>814</v>
      </c>
      <c r="B1289" s="3" t="s">
        <v>815</v>
      </c>
      <c r="C1289" s="61" t="s">
        <v>3281</v>
      </c>
      <c r="D1289" s="3" t="s">
        <v>3248</v>
      </c>
      <c r="E1289" s="3">
        <v>1</v>
      </c>
      <c r="F1289" s="3" t="s">
        <v>1906</v>
      </c>
      <c r="G1289" s="9">
        <v>2819.0349860000001</v>
      </c>
      <c r="H1289" s="66">
        <v>83161.532087</v>
      </c>
      <c r="I1289" s="9">
        <v>3392.59919337264</v>
      </c>
      <c r="J1289" s="10">
        <v>1.2034611880381394</v>
      </c>
      <c r="K1289" s="66">
        <v>30292.959330605416</v>
      </c>
      <c r="L1289" s="69">
        <v>113454.49141760542</v>
      </c>
      <c r="M1289" s="64">
        <v>1267111.1832041834</v>
      </c>
      <c r="N1289" s="67">
        <v>25398.358820646161</v>
      </c>
      <c r="O1289" s="64">
        <f t="shared" si="40"/>
        <v>138852.85023825159</v>
      </c>
      <c r="P1289" s="64">
        <f t="shared" si="41"/>
        <v>49.255454766552369</v>
      </c>
    </row>
    <row r="1290" spans="1:16" ht="15">
      <c r="A1290" s="3" t="s">
        <v>832</v>
      </c>
      <c r="B1290" s="3" t="s">
        <v>833</v>
      </c>
      <c r="C1290" s="61" t="s">
        <v>3281</v>
      </c>
      <c r="D1290" s="3" t="s">
        <v>3248</v>
      </c>
      <c r="E1290" s="3">
        <v>1</v>
      </c>
      <c r="F1290" s="3" t="s">
        <v>1909</v>
      </c>
      <c r="G1290" s="9">
        <v>3500.8573940000001</v>
      </c>
      <c r="H1290" s="66">
        <v>103275.29312300001</v>
      </c>
      <c r="I1290" s="9">
        <v>4547.5130487958204</v>
      </c>
      <c r="J1290" s="10">
        <v>1.2989712339010573</v>
      </c>
      <c r="K1290" s="66">
        <v>55279.420815181111</v>
      </c>
      <c r="L1290" s="69">
        <v>158554.71393818111</v>
      </c>
      <c r="M1290" s="64">
        <v>2079159.0794946507</v>
      </c>
      <c r="N1290" s="67">
        <v>41675.29183403957</v>
      </c>
      <c r="O1290" s="64">
        <f t="shared" si="40"/>
        <v>200230.00577222067</v>
      </c>
      <c r="P1290" s="64">
        <f t="shared" si="41"/>
        <v>57.194562142230652</v>
      </c>
    </row>
    <row r="1291" spans="1:16" ht="15">
      <c r="A1291" s="3" t="s">
        <v>1380</v>
      </c>
      <c r="B1291" s="3" t="s">
        <v>1381</v>
      </c>
      <c r="C1291" s="61" t="s">
        <v>3349</v>
      </c>
      <c r="D1291" s="3" t="s">
        <v>3248</v>
      </c>
      <c r="E1291" s="3">
        <v>1</v>
      </c>
      <c r="F1291" s="3" t="s">
        <v>3223</v>
      </c>
      <c r="G1291" s="9">
        <v>1762.3368479999999</v>
      </c>
      <c r="H1291" s="66">
        <v>51988.937015999996</v>
      </c>
      <c r="I1291" s="9">
        <v>2493.9473818207598</v>
      </c>
      <c r="J1291" s="10">
        <v>1.4151366037945772</v>
      </c>
      <c r="K1291" s="66">
        <v>38640.221725823118</v>
      </c>
      <c r="L1291" s="69">
        <v>90629.158741823107</v>
      </c>
      <c r="M1291" s="64">
        <v>3733380.5654517505</v>
      </c>
      <c r="N1291" s="67">
        <v>74833.006347234463</v>
      </c>
      <c r="O1291" s="64">
        <f t="shared" si="40"/>
        <v>165462.16508905758</v>
      </c>
      <c r="P1291" s="64">
        <f t="shared" si="41"/>
        <v>93.887933669907355</v>
      </c>
    </row>
    <row r="1292" spans="1:16" ht="15">
      <c r="A1292" s="3" t="s">
        <v>1382</v>
      </c>
      <c r="B1292" s="3" t="s">
        <v>1383</v>
      </c>
      <c r="C1292" s="61" t="s">
        <v>3346</v>
      </c>
      <c r="D1292" s="3" t="s">
        <v>3248</v>
      </c>
      <c r="E1292" s="3">
        <v>1</v>
      </c>
      <c r="F1292" s="3" t="s">
        <v>3223</v>
      </c>
      <c r="G1292" s="9">
        <v>1051.502238</v>
      </c>
      <c r="H1292" s="66">
        <v>31019.316021000002</v>
      </c>
      <c r="I1292" s="9">
        <v>1320.9010868581699</v>
      </c>
      <c r="J1292" s="10">
        <v>1.2562037807647253</v>
      </c>
      <c r="K1292" s="66">
        <v>14228.378039061276</v>
      </c>
      <c r="L1292" s="69">
        <v>45247.69406006128</v>
      </c>
      <c r="M1292" s="64">
        <v>616516.99803860614</v>
      </c>
      <c r="N1292" s="67">
        <v>12357.652700701401</v>
      </c>
      <c r="O1292" s="64">
        <f t="shared" si="40"/>
        <v>57605.346760762681</v>
      </c>
      <c r="P1292" s="64">
        <f t="shared" si="41"/>
        <v>54.783855591530063</v>
      </c>
    </row>
    <row r="1293" spans="1:16" ht="15">
      <c r="A1293" s="3" t="str">
        <f>"092247"</f>
        <v>092247</v>
      </c>
      <c r="B1293" s="3" t="s">
        <v>2761</v>
      </c>
      <c r="C1293" s="61" t="s">
        <v>3346</v>
      </c>
      <c r="D1293" s="3" t="s">
        <v>3249</v>
      </c>
      <c r="E1293" s="3">
        <v>1</v>
      </c>
      <c r="F1293" s="3" t="s">
        <v>3220</v>
      </c>
      <c r="G1293" s="9">
        <v>108</v>
      </c>
      <c r="H1293" s="66">
        <v>3186</v>
      </c>
      <c r="I1293" s="9">
        <v>116.1114</v>
      </c>
      <c r="J1293" s="10">
        <v>1.0751055555555555</v>
      </c>
      <c r="K1293" s="66">
        <v>428.40593460294451</v>
      </c>
      <c r="L1293" s="69">
        <v>3614.4059346029444</v>
      </c>
      <c r="M1293" s="64">
        <v>0</v>
      </c>
      <c r="N1293" s="67">
        <v>0</v>
      </c>
      <c r="O1293" s="64">
        <f t="shared" si="40"/>
        <v>3614.4059346029444</v>
      </c>
      <c r="P1293" s="64">
        <f t="shared" si="41"/>
        <v>33.466721616693931</v>
      </c>
    </row>
    <row r="1294" spans="1:16" ht="15">
      <c r="A1294" s="3" t="s">
        <v>1384</v>
      </c>
      <c r="B1294" s="3" t="s">
        <v>1343</v>
      </c>
      <c r="C1294" s="61" t="s">
        <v>3346</v>
      </c>
      <c r="D1294" s="3" t="s">
        <v>3248</v>
      </c>
      <c r="E1294" s="3">
        <v>1</v>
      </c>
      <c r="F1294" s="3" t="s">
        <v>3224</v>
      </c>
      <c r="G1294" s="9">
        <v>1802.332097</v>
      </c>
      <c r="H1294" s="66">
        <v>53168.796861499999</v>
      </c>
      <c r="I1294" s="9">
        <v>2146.6112962367001</v>
      </c>
      <c r="J1294" s="10">
        <v>1.1910187361195843</v>
      </c>
      <c r="K1294" s="66">
        <v>18183.205379262745</v>
      </c>
      <c r="L1294" s="69">
        <v>71352.00224076274</v>
      </c>
      <c r="M1294" s="64">
        <v>2137574.7853937121</v>
      </c>
      <c r="N1294" s="67">
        <v>42846.193866041147</v>
      </c>
      <c r="O1294" s="64">
        <f t="shared" si="40"/>
        <v>114198.19610680389</v>
      </c>
      <c r="P1294" s="64">
        <f t="shared" si="41"/>
        <v>63.361350717155815</v>
      </c>
    </row>
    <row r="1295" spans="1:16" ht="15">
      <c r="A1295" s="3" t="s">
        <v>926</v>
      </c>
      <c r="B1295" s="3" t="s">
        <v>927</v>
      </c>
      <c r="C1295" s="61" t="s">
        <v>3346</v>
      </c>
      <c r="D1295" s="3" t="s">
        <v>3248</v>
      </c>
      <c r="E1295" s="3">
        <v>1</v>
      </c>
      <c r="F1295" s="3" t="s">
        <v>1904</v>
      </c>
      <c r="G1295" s="9">
        <v>1136.944542</v>
      </c>
      <c r="H1295" s="66">
        <v>33539.863988999998</v>
      </c>
      <c r="I1295" s="9">
        <v>1443.55318561851</v>
      </c>
      <c r="J1295" s="10">
        <v>1.2696777479393626</v>
      </c>
      <c r="K1295" s="66">
        <v>16193.624100245197</v>
      </c>
      <c r="L1295" s="69">
        <v>49733.488089245191</v>
      </c>
      <c r="M1295" s="64">
        <v>665585.71454286308</v>
      </c>
      <c r="N1295" s="67">
        <v>13341.200857456055</v>
      </c>
      <c r="O1295" s="64">
        <f t="shared" si="40"/>
        <v>63074.688946701244</v>
      </c>
      <c r="P1295" s="64">
        <f t="shared" si="41"/>
        <v>55.477366412038457</v>
      </c>
    </row>
    <row r="1296" spans="1:16" ht="15">
      <c r="A1296" s="3" t="s">
        <v>1385</v>
      </c>
      <c r="B1296" s="3" t="s">
        <v>1386</v>
      </c>
      <c r="C1296" s="61" t="s">
        <v>3346</v>
      </c>
      <c r="D1296" s="3" t="s">
        <v>3248</v>
      </c>
      <c r="E1296" s="3">
        <v>1</v>
      </c>
      <c r="F1296" s="3" t="s">
        <v>3224</v>
      </c>
      <c r="G1296" s="9">
        <v>1045.98081</v>
      </c>
      <c r="H1296" s="66">
        <v>30856.433895000002</v>
      </c>
      <c r="I1296" s="9">
        <v>1267.94580943556</v>
      </c>
      <c r="J1296" s="10">
        <v>1.2122075255238765</v>
      </c>
      <c r="K1296" s="66">
        <v>11723.145576883533</v>
      </c>
      <c r="L1296" s="69">
        <v>42579.579471883539</v>
      </c>
      <c r="M1296" s="64">
        <v>1245757.0597169306</v>
      </c>
      <c r="N1296" s="67">
        <v>24970.330327315256</v>
      </c>
      <c r="O1296" s="64">
        <f t="shared" si="40"/>
        <v>67549.909799198795</v>
      </c>
      <c r="P1296" s="64">
        <f t="shared" si="41"/>
        <v>64.580448468455927</v>
      </c>
    </row>
    <row r="1297" spans="1:16" ht="15">
      <c r="A1297" s="3" t="s">
        <v>439</v>
      </c>
      <c r="B1297" s="3" t="s">
        <v>440</v>
      </c>
      <c r="C1297" s="61" t="s">
        <v>3346</v>
      </c>
      <c r="D1297" s="3" t="s">
        <v>1684</v>
      </c>
      <c r="E1297" s="3">
        <v>1</v>
      </c>
      <c r="F1297" s="3" t="s">
        <v>3266</v>
      </c>
      <c r="G1297" s="9">
        <v>116.69521899999999</v>
      </c>
      <c r="H1297" s="66">
        <v>3442.5089604999998</v>
      </c>
      <c r="I1297" s="9">
        <v>214.10367563718501</v>
      </c>
      <c r="J1297" s="10">
        <v>1.8347253424082868</v>
      </c>
      <c r="K1297" s="66">
        <v>5144.6557812317997</v>
      </c>
      <c r="L1297" s="69">
        <v>8587.1647417317999</v>
      </c>
      <c r="M1297" s="64">
        <v>0</v>
      </c>
      <c r="N1297" s="67">
        <v>0</v>
      </c>
      <c r="O1297" s="64">
        <f t="shared" si="40"/>
        <v>8587.1647417317999</v>
      </c>
      <c r="P1297" s="64">
        <f t="shared" si="41"/>
        <v>73.586260134031718</v>
      </c>
    </row>
    <row r="1298" spans="1:16" ht="15">
      <c r="A1298" s="3" t="str">
        <f>"058099"</f>
        <v>058099</v>
      </c>
      <c r="B1298" s="3" t="s">
        <v>2921</v>
      </c>
      <c r="C1298" s="61" t="s">
        <v>3311</v>
      </c>
      <c r="D1298" s="3" t="s">
        <v>3249</v>
      </c>
      <c r="E1298" s="3">
        <v>1</v>
      </c>
      <c r="F1298" s="3" t="s">
        <v>3220</v>
      </c>
      <c r="G1298" s="9">
        <v>258</v>
      </c>
      <c r="H1298" s="66">
        <v>7611</v>
      </c>
      <c r="I1298" s="9">
        <v>300.18299999999999</v>
      </c>
      <c r="J1298" s="10">
        <v>1.1635</v>
      </c>
      <c r="K1298" s="66">
        <v>2227.907332810119</v>
      </c>
      <c r="L1298" s="69">
        <v>9838.9073328101185</v>
      </c>
      <c r="M1298" s="64">
        <v>0</v>
      </c>
      <c r="N1298" s="67">
        <v>0</v>
      </c>
      <c r="O1298" s="64">
        <f t="shared" si="40"/>
        <v>9838.9073328101185</v>
      </c>
      <c r="P1298" s="64">
        <f t="shared" si="41"/>
        <v>38.135299739574101</v>
      </c>
    </row>
    <row r="1299" spans="1:16" ht="15">
      <c r="A1299" s="3" t="str">
        <f>"052712"</f>
        <v>052712</v>
      </c>
      <c r="B1299" s="3" t="s">
        <v>2723</v>
      </c>
      <c r="C1299" s="61" t="s">
        <v>3311</v>
      </c>
      <c r="D1299" s="3" t="s">
        <v>3249</v>
      </c>
      <c r="E1299" s="3">
        <v>1</v>
      </c>
      <c r="F1299" s="3" t="s">
        <v>3220</v>
      </c>
      <c r="G1299" s="9">
        <v>98</v>
      </c>
      <c r="H1299" s="66">
        <v>2891</v>
      </c>
      <c r="I1299" s="9">
        <v>104.79920000000001</v>
      </c>
      <c r="J1299" s="10">
        <v>1.0693795918367348</v>
      </c>
      <c r="K1299" s="66">
        <v>359.10171247285854</v>
      </c>
      <c r="L1299" s="69">
        <v>3250.1017124728587</v>
      </c>
      <c r="M1299" s="64">
        <v>0</v>
      </c>
      <c r="N1299" s="67">
        <v>0</v>
      </c>
      <c r="O1299" s="64">
        <f t="shared" si="40"/>
        <v>3250.1017124728587</v>
      </c>
      <c r="P1299" s="64">
        <f t="shared" si="41"/>
        <v>33.164303188498558</v>
      </c>
    </row>
    <row r="1300" spans="1:16" ht="15">
      <c r="A1300" s="3" t="s">
        <v>1387</v>
      </c>
      <c r="B1300" s="3" t="s">
        <v>1388</v>
      </c>
      <c r="C1300" s="61" t="s">
        <v>3311</v>
      </c>
      <c r="D1300" s="3" t="s">
        <v>3248</v>
      </c>
      <c r="E1300" s="3">
        <v>1</v>
      </c>
      <c r="F1300" s="3" t="s">
        <v>1904</v>
      </c>
      <c r="G1300" s="9">
        <v>2115.8765229999999</v>
      </c>
      <c r="H1300" s="66">
        <v>62418.3574285</v>
      </c>
      <c r="I1300" s="9">
        <v>2532.8269448098899</v>
      </c>
      <c r="J1300" s="10">
        <v>1.1970580122599574</v>
      </c>
      <c r="K1300" s="66">
        <v>22021.356996148359</v>
      </c>
      <c r="L1300" s="69">
        <v>84439.714424648351</v>
      </c>
      <c r="M1300" s="64">
        <v>2623565.2934144326</v>
      </c>
      <c r="N1300" s="67">
        <v>52587.534223345334</v>
      </c>
      <c r="O1300" s="64">
        <f t="shared" si="40"/>
        <v>137027.24864799369</v>
      </c>
      <c r="P1300" s="64">
        <f t="shared" si="41"/>
        <v>64.76145803333992</v>
      </c>
    </row>
    <row r="1301" spans="1:16" ht="15">
      <c r="A1301" s="3" t="s">
        <v>449</v>
      </c>
      <c r="B1301" s="3" t="s">
        <v>450</v>
      </c>
      <c r="C1301" s="61" t="s">
        <v>3311</v>
      </c>
      <c r="D1301" s="3" t="s">
        <v>1684</v>
      </c>
      <c r="E1301" s="3">
        <v>1</v>
      </c>
      <c r="F1301" s="3" t="s">
        <v>3266</v>
      </c>
      <c r="G1301" s="9">
        <v>359</v>
      </c>
      <c r="H1301" s="66">
        <v>10590.5</v>
      </c>
      <c r="I1301" s="9">
        <v>666.80063936194904</v>
      </c>
      <c r="J1301" s="10">
        <v>1.8573833965513902</v>
      </c>
      <c r="K1301" s="66">
        <v>16256.579699834752</v>
      </c>
      <c r="L1301" s="69">
        <v>26847.07969983475</v>
      </c>
      <c r="M1301" s="64">
        <v>0</v>
      </c>
      <c r="N1301" s="67">
        <v>0</v>
      </c>
      <c r="O1301" s="64">
        <f t="shared" si="40"/>
        <v>26847.07969983475</v>
      </c>
      <c r="P1301" s="64">
        <f t="shared" si="41"/>
        <v>74.782951810124658</v>
      </c>
    </row>
    <row r="1302" spans="1:16" ht="15">
      <c r="A1302" s="3" t="s">
        <v>228</v>
      </c>
      <c r="B1302" s="3" t="s">
        <v>229</v>
      </c>
      <c r="C1302" s="61" t="s">
        <v>3311</v>
      </c>
      <c r="D1302" s="3" t="s">
        <v>1684</v>
      </c>
      <c r="E1302" s="3">
        <v>1</v>
      </c>
      <c r="F1302" s="3" t="s">
        <v>3266</v>
      </c>
      <c r="G1302" s="9">
        <v>40</v>
      </c>
      <c r="H1302" s="66">
        <v>1180</v>
      </c>
      <c r="I1302" s="9">
        <v>69.998502789489706</v>
      </c>
      <c r="J1302" s="10">
        <v>1.7499625697372427</v>
      </c>
      <c r="K1302" s="66">
        <v>1584.3795922060767</v>
      </c>
      <c r="L1302" s="69">
        <v>2764.3795922060767</v>
      </c>
      <c r="M1302" s="64">
        <v>0</v>
      </c>
      <c r="N1302" s="67">
        <v>0</v>
      </c>
      <c r="O1302" s="64">
        <f t="shared" si="40"/>
        <v>2764.3795922060767</v>
      </c>
      <c r="P1302" s="64">
        <f t="shared" si="41"/>
        <v>69.109489805151924</v>
      </c>
    </row>
    <row r="1303" spans="1:16" ht="15">
      <c r="A1303" s="3" t="s">
        <v>1389</v>
      </c>
      <c r="B1303" s="3" t="s">
        <v>1879</v>
      </c>
      <c r="C1303" s="61" t="s">
        <v>3311</v>
      </c>
      <c r="D1303" s="3" t="s">
        <v>3248</v>
      </c>
      <c r="E1303" s="3">
        <v>1</v>
      </c>
      <c r="F1303" s="3" t="s">
        <v>3223</v>
      </c>
      <c r="G1303" s="9">
        <v>1873.862697</v>
      </c>
      <c r="H1303" s="66">
        <v>55278.949561499998</v>
      </c>
      <c r="I1303" s="9">
        <v>2293.60280137667</v>
      </c>
      <c r="J1303" s="10">
        <v>1.2239972571355744</v>
      </c>
      <c r="K1303" s="66">
        <v>22168.69488692762</v>
      </c>
      <c r="L1303" s="69">
        <v>77447.644448427614</v>
      </c>
      <c r="M1303" s="64">
        <v>2573274.2562404592</v>
      </c>
      <c r="N1303" s="67">
        <v>51579.485502334872</v>
      </c>
      <c r="O1303" s="64">
        <f t="shared" si="40"/>
        <v>129027.12995076249</v>
      </c>
      <c r="P1303" s="64">
        <f t="shared" si="41"/>
        <v>68.856234855056982</v>
      </c>
    </row>
    <row r="1304" spans="1:16" ht="15">
      <c r="A1304" s="3" t="s">
        <v>1390</v>
      </c>
      <c r="B1304" s="3" t="s">
        <v>1391</v>
      </c>
      <c r="C1304" s="61" t="s">
        <v>3311</v>
      </c>
      <c r="D1304" s="3" t="s">
        <v>3248</v>
      </c>
      <c r="E1304" s="3">
        <v>1</v>
      </c>
      <c r="F1304" s="3" t="s">
        <v>1905</v>
      </c>
      <c r="G1304" s="9">
        <v>2447.248251</v>
      </c>
      <c r="H1304" s="66">
        <v>72193.823404499999</v>
      </c>
      <c r="I1304" s="9">
        <v>2754.0007090855001</v>
      </c>
      <c r="J1304" s="10">
        <v>1.1253458687569413</v>
      </c>
      <c r="K1304" s="66">
        <v>16201.219702871169</v>
      </c>
      <c r="L1304" s="69">
        <v>88395.043107371166</v>
      </c>
      <c r="M1304" s="64">
        <v>1815645.5555213131</v>
      </c>
      <c r="N1304" s="67">
        <v>36393.347262259012</v>
      </c>
      <c r="O1304" s="64">
        <f t="shared" si="40"/>
        <v>124788.39036963019</v>
      </c>
      <c r="P1304" s="64">
        <f t="shared" si="41"/>
        <v>50.99130842922817</v>
      </c>
    </row>
    <row r="1305" spans="1:16" ht="15">
      <c r="A1305" s="3" t="s">
        <v>493</v>
      </c>
      <c r="B1305" s="3" t="s">
        <v>1848</v>
      </c>
      <c r="C1305" s="61" t="s">
        <v>3311</v>
      </c>
      <c r="D1305" s="3" t="s">
        <v>456</v>
      </c>
      <c r="E1305" s="3">
        <v>1</v>
      </c>
      <c r="F1305" s="3" t="s">
        <v>1897</v>
      </c>
      <c r="G1305" s="9">
        <v>1149.648645</v>
      </c>
      <c r="H1305" s="66">
        <v>33914.6350275</v>
      </c>
      <c r="I1305" s="9">
        <v>1474.1969219274399</v>
      </c>
      <c r="J1305" s="10">
        <v>1.2823021436496713</v>
      </c>
      <c r="K1305" s="66">
        <v>17141.111016701816</v>
      </c>
      <c r="L1305" s="69">
        <v>51055.74604420182</v>
      </c>
      <c r="M1305" s="64">
        <v>0</v>
      </c>
      <c r="N1305" s="67">
        <v>0</v>
      </c>
      <c r="O1305" s="64">
        <f t="shared" si="40"/>
        <v>51055.74604420182</v>
      </c>
      <c r="P1305" s="64">
        <f t="shared" si="41"/>
        <v>44.409869281585436</v>
      </c>
    </row>
    <row r="1306" spans="1:16" ht="15">
      <c r="A1306" s="19">
        <v>66357</v>
      </c>
      <c r="B1306" s="20" t="s">
        <v>1929</v>
      </c>
      <c r="C1306" s="61" t="s">
        <v>3311</v>
      </c>
      <c r="D1306" s="19" t="s">
        <v>1973</v>
      </c>
      <c r="E1306" s="19">
        <v>1</v>
      </c>
      <c r="F1306" s="19" t="s">
        <v>1974</v>
      </c>
      <c r="G1306" s="9">
        <v>44.21</v>
      </c>
      <c r="H1306" s="66">
        <v>1304.1949999999999</v>
      </c>
      <c r="I1306" s="9">
        <v>196.40736200000001</v>
      </c>
      <c r="J1306" s="10">
        <v>4.4426003619090704</v>
      </c>
      <c r="K1306" s="66">
        <v>8038.3476479661522</v>
      </c>
      <c r="L1306" s="69">
        <v>9342.5426479661528</v>
      </c>
      <c r="M1306" s="64">
        <v>0</v>
      </c>
      <c r="N1306" s="67">
        <v>0</v>
      </c>
      <c r="O1306" s="64">
        <f t="shared" si="40"/>
        <v>9342.5426479661528</v>
      </c>
      <c r="P1306" s="64">
        <f t="shared" si="41"/>
        <v>211.32193277462457</v>
      </c>
    </row>
    <row r="1307" spans="1:16" ht="15">
      <c r="A1307" s="3" t="s">
        <v>1392</v>
      </c>
      <c r="B1307" s="3" t="s">
        <v>1880</v>
      </c>
      <c r="C1307" s="61" t="s">
        <v>3311</v>
      </c>
      <c r="D1307" s="3" t="s">
        <v>3248</v>
      </c>
      <c r="E1307" s="3">
        <v>1</v>
      </c>
      <c r="F1307" s="3" t="s">
        <v>3223</v>
      </c>
      <c r="G1307" s="9">
        <v>2965.5620389999999</v>
      </c>
      <c r="H1307" s="66">
        <v>87484.080150499998</v>
      </c>
      <c r="I1307" s="9">
        <v>3557.4266349891</v>
      </c>
      <c r="J1307" s="10">
        <v>1.1995792326059984</v>
      </c>
      <c r="K1307" s="66">
        <v>31259.499642861214</v>
      </c>
      <c r="L1307" s="69">
        <v>118743.57979336122</v>
      </c>
      <c r="M1307" s="64">
        <v>3345210.8674213495</v>
      </c>
      <c r="N1307" s="67">
        <v>67052.415816143461</v>
      </c>
      <c r="O1307" s="64">
        <f t="shared" si="40"/>
        <v>185795.99560950469</v>
      </c>
      <c r="P1307" s="64">
        <f t="shared" si="41"/>
        <v>62.651191634539501</v>
      </c>
    </row>
    <row r="1308" spans="1:16" ht="15">
      <c r="A1308" s="3" t="s">
        <v>1393</v>
      </c>
      <c r="B1308" s="3" t="s">
        <v>1394</v>
      </c>
      <c r="C1308" s="61" t="s">
        <v>3311</v>
      </c>
      <c r="D1308" s="3" t="s">
        <v>3248</v>
      </c>
      <c r="E1308" s="3">
        <v>1</v>
      </c>
      <c r="F1308" s="3" t="s">
        <v>1904</v>
      </c>
      <c r="G1308" s="9">
        <v>1379.8585869999999</v>
      </c>
      <c r="H1308" s="66">
        <v>40705.828316499996</v>
      </c>
      <c r="I1308" s="9">
        <v>1656.0066278974</v>
      </c>
      <c r="J1308" s="10">
        <v>1.2001277837446978</v>
      </c>
      <c r="K1308" s="66">
        <v>14584.83856663742</v>
      </c>
      <c r="L1308" s="69">
        <v>55290.666883137412</v>
      </c>
      <c r="M1308" s="64">
        <v>1346267.8466215599</v>
      </c>
      <c r="N1308" s="67">
        <v>26984.998862316195</v>
      </c>
      <c r="O1308" s="64">
        <f t="shared" si="40"/>
        <v>82275.665745453603</v>
      </c>
      <c r="P1308" s="64">
        <f t="shared" si="41"/>
        <v>59.626157724127424</v>
      </c>
    </row>
    <row r="1309" spans="1:16" ht="15">
      <c r="A1309" s="3" t="s">
        <v>855</v>
      </c>
      <c r="B1309" s="3" t="s">
        <v>856</v>
      </c>
      <c r="C1309" s="61" t="s">
        <v>3311</v>
      </c>
      <c r="D1309" s="3" t="s">
        <v>3248</v>
      </c>
      <c r="E1309" s="3">
        <v>1</v>
      </c>
      <c r="F1309" s="3" t="s">
        <v>1909</v>
      </c>
      <c r="G1309" s="9">
        <v>3176.0282099999999</v>
      </c>
      <c r="H1309" s="66">
        <v>93692.832194999995</v>
      </c>
      <c r="I1309" s="9">
        <v>4731.3323051716998</v>
      </c>
      <c r="J1309" s="10">
        <v>1.4897009699960126</v>
      </c>
      <c r="K1309" s="66">
        <v>82143.83515593101</v>
      </c>
      <c r="L1309" s="69">
        <v>175836.66735093101</v>
      </c>
      <c r="M1309" s="64">
        <v>1964999.3920775934</v>
      </c>
      <c r="N1309" s="67">
        <v>39387.040619541367</v>
      </c>
      <c r="O1309" s="64">
        <f t="shared" si="40"/>
        <v>215223.70797047237</v>
      </c>
      <c r="P1309" s="64">
        <f t="shared" si="41"/>
        <v>67.765049218650475</v>
      </c>
    </row>
    <row r="1310" spans="1:16" ht="15">
      <c r="A1310" s="3" t="s">
        <v>159</v>
      </c>
      <c r="B1310" s="3" t="s">
        <v>160</v>
      </c>
      <c r="C1310" s="61" t="s">
        <v>3311</v>
      </c>
      <c r="D1310" s="3" t="s">
        <v>1684</v>
      </c>
      <c r="E1310" s="3">
        <v>1</v>
      </c>
      <c r="F1310" s="3" t="s">
        <v>3266</v>
      </c>
      <c r="G1310" s="9">
        <v>93.154321999999993</v>
      </c>
      <c r="H1310" s="66">
        <v>2748.0524989999999</v>
      </c>
      <c r="I1310" s="9">
        <v>146.07249415619501</v>
      </c>
      <c r="J1310" s="10">
        <v>1.5680699619733696</v>
      </c>
      <c r="K1310" s="66">
        <v>2794.8885519212749</v>
      </c>
      <c r="L1310" s="69">
        <v>5542.9410509212748</v>
      </c>
      <c r="M1310" s="64">
        <v>0</v>
      </c>
      <c r="N1310" s="67">
        <v>0</v>
      </c>
      <c r="O1310" s="64">
        <f t="shared" si="40"/>
        <v>5542.9410509212748</v>
      </c>
      <c r="P1310" s="64">
        <f t="shared" si="41"/>
        <v>59.502779172406782</v>
      </c>
    </row>
    <row r="1311" spans="1:16" ht="15">
      <c r="A1311" s="3" t="str">
        <f>"070243"</f>
        <v>070243</v>
      </c>
      <c r="B1311" s="3" t="s">
        <v>3116</v>
      </c>
      <c r="C1311" s="61" t="s">
        <v>3311</v>
      </c>
      <c r="D1311" s="3" t="s">
        <v>3249</v>
      </c>
      <c r="E1311" s="3">
        <v>1</v>
      </c>
      <c r="F1311" s="3" t="s">
        <v>3220</v>
      </c>
      <c r="G1311" s="9">
        <v>14</v>
      </c>
      <c r="H1311" s="66">
        <v>413</v>
      </c>
      <c r="I1311" s="9">
        <v>14</v>
      </c>
      <c r="J1311" s="10">
        <v>1</v>
      </c>
      <c r="K1311" s="66">
        <v>0</v>
      </c>
      <c r="L1311" s="69">
        <v>413</v>
      </c>
      <c r="M1311" s="64">
        <v>0</v>
      </c>
      <c r="N1311" s="67">
        <v>0</v>
      </c>
      <c r="O1311" s="64">
        <f t="shared" si="40"/>
        <v>413</v>
      </c>
      <c r="P1311" s="64">
        <f t="shared" si="41"/>
        <v>29.5</v>
      </c>
    </row>
    <row r="1312" spans="1:16" ht="15">
      <c r="A1312" s="3" t="s">
        <v>871</v>
      </c>
      <c r="B1312" s="3" t="s">
        <v>872</v>
      </c>
      <c r="C1312" s="61" t="s">
        <v>3360</v>
      </c>
      <c r="D1312" s="3" t="s">
        <v>3248</v>
      </c>
      <c r="E1312" s="3">
        <v>1</v>
      </c>
      <c r="F1312" s="3" t="s">
        <v>3223</v>
      </c>
      <c r="G1312" s="9">
        <v>802.92055900000003</v>
      </c>
      <c r="H1312" s="66">
        <v>23686.156490500001</v>
      </c>
      <c r="I1312" s="9">
        <v>970.49659940243203</v>
      </c>
      <c r="J1312" s="10">
        <v>1.2087081200301311</v>
      </c>
      <c r="K1312" s="66">
        <v>8850.5769911069165</v>
      </c>
      <c r="L1312" s="69">
        <v>32536.73348160692</v>
      </c>
      <c r="M1312" s="64">
        <v>1047480.8579003329</v>
      </c>
      <c r="N1312" s="67">
        <v>20996.022321763292</v>
      </c>
      <c r="O1312" s="64">
        <f t="shared" si="40"/>
        <v>53532.755803370208</v>
      </c>
      <c r="P1312" s="64">
        <f t="shared" si="41"/>
        <v>66.672543383423573</v>
      </c>
    </row>
    <row r="1313" spans="1:16" ht="15">
      <c r="A1313" s="3" t="s">
        <v>1395</v>
      </c>
      <c r="B1313" s="3" t="s">
        <v>1396</v>
      </c>
      <c r="C1313" s="61" t="s">
        <v>3360</v>
      </c>
      <c r="D1313" s="3" t="s">
        <v>3248</v>
      </c>
      <c r="E1313" s="3">
        <v>1</v>
      </c>
      <c r="F1313" s="3" t="s">
        <v>3224</v>
      </c>
      <c r="G1313" s="9">
        <v>843.78037800000004</v>
      </c>
      <c r="H1313" s="66">
        <v>24891.521151000001</v>
      </c>
      <c r="I1313" s="9">
        <v>968.18352434398696</v>
      </c>
      <c r="J1313" s="10">
        <v>1.1474354578366208</v>
      </c>
      <c r="K1313" s="66">
        <v>6570.3881175928418</v>
      </c>
      <c r="L1313" s="69">
        <v>31461.909268592841</v>
      </c>
      <c r="M1313" s="64">
        <v>1433695.6240772472</v>
      </c>
      <c r="N1313" s="67">
        <v>28737.427609015471</v>
      </c>
      <c r="O1313" s="64">
        <f t="shared" si="40"/>
        <v>60199.336877608308</v>
      </c>
      <c r="P1313" s="64">
        <f t="shared" si="41"/>
        <v>71.344793559075043</v>
      </c>
    </row>
    <row r="1314" spans="1:16" ht="15">
      <c r="A1314" s="3" t="s">
        <v>1397</v>
      </c>
      <c r="B1314" s="3" t="s">
        <v>1398</v>
      </c>
      <c r="C1314" s="61" t="s">
        <v>3354</v>
      </c>
      <c r="D1314" s="3" t="s">
        <v>3248</v>
      </c>
      <c r="E1314" s="3">
        <v>1</v>
      </c>
      <c r="F1314" s="3" t="s">
        <v>1904</v>
      </c>
      <c r="G1314" s="9">
        <v>1433.1243999999999</v>
      </c>
      <c r="H1314" s="66">
        <v>42277.169799999996</v>
      </c>
      <c r="I1314" s="9">
        <v>1656.1461025171</v>
      </c>
      <c r="J1314" s="10">
        <v>1.1556192208555658</v>
      </c>
      <c r="K1314" s="66">
        <v>11778.955655445185</v>
      </c>
      <c r="L1314" s="69">
        <v>54056.125455445181</v>
      </c>
      <c r="M1314" s="64">
        <v>1250105.2990783679</v>
      </c>
      <c r="N1314" s="67">
        <v>25057.487748860985</v>
      </c>
      <c r="O1314" s="64">
        <f t="shared" si="40"/>
        <v>79113.613204306166</v>
      </c>
      <c r="P1314" s="64">
        <f t="shared" si="41"/>
        <v>55.203590982266554</v>
      </c>
    </row>
    <row r="1315" spans="1:16" ht="15">
      <c r="A1315" s="3" t="s">
        <v>1399</v>
      </c>
      <c r="B1315" s="3" t="s">
        <v>1400</v>
      </c>
      <c r="C1315" s="61" t="s">
        <v>3354</v>
      </c>
      <c r="D1315" s="3" t="s">
        <v>3248</v>
      </c>
      <c r="E1315" s="3">
        <v>1</v>
      </c>
      <c r="F1315" s="3" t="s">
        <v>1904</v>
      </c>
      <c r="G1315" s="9">
        <v>535.08893899999998</v>
      </c>
      <c r="H1315" s="66">
        <v>15785.1237005</v>
      </c>
      <c r="I1315" s="9">
        <v>622.27131789100702</v>
      </c>
      <c r="J1315" s="10">
        <v>1.1629306317823307</v>
      </c>
      <c r="K1315" s="66">
        <v>4604.5625304768437</v>
      </c>
      <c r="L1315" s="69">
        <v>20389.686230976844</v>
      </c>
      <c r="M1315" s="64">
        <v>425251.61792717408</v>
      </c>
      <c r="N1315" s="67">
        <v>8523.8717204457516</v>
      </c>
      <c r="O1315" s="64">
        <f t="shared" si="40"/>
        <v>28913.557951422597</v>
      </c>
      <c r="P1315" s="64">
        <f t="shared" si="41"/>
        <v>54.035050706631402</v>
      </c>
    </row>
    <row r="1316" spans="1:16" ht="15">
      <c r="A1316" s="3" t="s">
        <v>1401</v>
      </c>
      <c r="B1316" s="3" t="s">
        <v>1402</v>
      </c>
      <c r="C1316" s="61" t="s">
        <v>3354</v>
      </c>
      <c r="D1316" s="3" t="s">
        <v>3248</v>
      </c>
      <c r="E1316" s="3">
        <v>1</v>
      </c>
      <c r="F1316" s="3" t="s">
        <v>1904</v>
      </c>
      <c r="G1316" s="9">
        <v>1287.374376</v>
      </c>
      <c r="H1316" s="66">
        <v>37977.544091999996</v>
      </c>
      <c r="I1316" s="9">
        <v>1405.22202209183</v>
      </c>
      <c r="J1316" s="10">
        <v>1.0915410841545521</v>
      </c>
      <c r="K1316" s="66">
        <v>6224.1574777137685</v>
      </c>
      <c r="L1316" s="69">
        <v>44201.701569713769</v>
      </c>
      <c r="M1316" s="64">
        <v>1173936.7666805682</v>
      </c>
      <c r="N1316" s="67">
        <v>23530.742706812387</v>
      </c>
      <c r="O1316" s="64">
        <f t="shared" si="40"/>
        <v>67732.444276526163</v>
      </c>
      <c r="P1316" s="64">
        <f t="shared" si="41"/>
        <v>52.612857253674406</v>
      </c>
    </row>
    <row r="1317" spans="1:16" ht="15">
      <c r="A1317" s="3" t="str">
        <f>"058560"</f>
        <v>058560</v>
      </c>
      <c r="B1317" s="3" t="s">
        <v>2671</v>
      </c>
      <c r="C1317" s="61" t="s">
        <v>3354</v>
      </c>
      <c r="D1317" s="3" t="s">
        <v>3249</v>
      </c>
      <c r="E1317" s="3">
        <v>1</v>
      </c>
      <c r="F1317" s="3" t="s">
        <v>3220</v>
      </c>
      <c r="G1317" s="9">
        <v>78</v>
      </c>
      <c r="H1317" s="66">
        <v>2301</v>
      </c>
      <c r="I1317" s="9">
        <v>83.624400000000009</v>
      </c>
      <c r="J1317" s="10">
        <v>1.0721076923076924</v>
      </c>
      <c r="K1317" s="66">
        <v>297.05431104134971</v>
      </c>
      <c r="L1317" s="69">
        <v>2598.0543110413496</v>
      </c>
      <c r="M1317" s="64">
        <v>0</v>
      </c>
      <c r="N1317" s="67">
        <v>0</v>
      </c>
      <c r="O1317" s="64">
        <f t="shared" si="40"/>
        <v>2598.0543110413496</v>
      </c>
      <c r="P1317" s="64">
        <f t="shared" si="41"/>
        <v>33.308388603094222</v>
      </c>
    </row>
    <row r="1318" spans="1:16" ht="15">
      <c r="A1318" s="3" t="s">
        <v>757</v>
      </c>
      <c r="B1318" s="3" t="s">
        <v>758</v>
      </c>
      <c r="C1318" s="61" t="s">
        <v>3354</v>
      </c>
      <c r="D1318" s="3" t="s">
        <v>3248</v>
      </c>
      <c r="E1318" s="3">
        <v>1</v>
      </c>
      <c r="F1318" s="3" t="s">
        <v>1905</v>
      </c>
      <c r="G1318" s="9">
        <v>1653.9669510000001</v>
      </c>
      <c r="H1318" s="66">
        <v>48792.025054500002</v>
      </c>
      <c r="I1318" s="9">
        <v>2107.07540254781</v>
      </c>
      <c r="J1318" s="10">
        <v>1.2739525425667406</v>
      </c>
      <c r="K1318" s="66">
        <v>23931.053783789779</v>
      </c>
      <c r="L1318" s="69">
        <v>72723.078838289774</v>
      </c>
      <c r="M1318" s="64">
        <v>954333.52238749445</v>
      </c>
      <c r="N1318" s="67">
        <v>19128.949027879371</v>
      </c>
      <c r="O1318" s="64">
        <f t="shared" si="40"/>
        <v>91852.027866169141</v>
      </c>
      <c r="P1318" s="64">
        <f t="shared" si="41"/>
        <v>55.534379215155873</v>
      </c>
    </row>
    <row r="1319" spans="1:16" ht="15">
      <c r="A1319" s="3" t="s">
        <v>1403</v>
      </c>
      <c r="B1319" s="3" t="s">
        <v>1404</v>
      </c>
      <c r="C1319" s="61" t="s">
        <v>3354</v>
      </c>
      <c r="D1319" s="3" t="s">
        <v>3248</v>
      </c>
      <c r="E1319" s="3">
        <v>1</v>
      </c>
      <c r="F1319" s="3" t="s">
        <v>3260</v>
      </c>
      <c r="G1319" s="9">
        <v>70.984448999999998</v>
      </c>
      <c r="H1319" s="66">
        <v>2094.0412455000001</v>
      </c>
      <c r="I1319" s="9">
        <v>76.483341455000001</v>
      </c>
      <c r="J1319" s="10">
        <v>1.0774661567775219</v>
      </c>
      <c r="K1319" s="66">
        <v>290.42559378964859</v>
      </c>
      <c r="L1319" s="69">
        <v>2384.4668392896488</v>
      </c>
      <c r="M1319" s="64">
        <v>0</v>
      </c>
      <c r="N1319" s="67">
        <v>0</v>
      </c>
      <c r="O1319" s="64">
        <f t="shared" si="40"/>
        <v>2384.4668392896488</v>
      </c>
      <c r="P1319" s="64">
        <f t="shared" si="41"/>
        <v>33.591397452273647</v>
      </c>
    </row>
    <row r="1320" spans="1:16" ht="15">
      <c r="A1320" s="3" t="str">
        <f>"058859"</f>
        <v>058859</v>
      </c>
      <c r="B1320" s="3" t="s">
        <v>2724</v>
      </c>
      <c r="C1320" s="61" t="s">
        <v>3354</v>
      </c>
      <c r="D1320" s="3" t="s">
        <v>3249</v>
      </c>
      <c r="E1320" s="3">
        <v>1</v>
      </c>
      <c r="F1320" s="3" t="s">
        <v>3220</v>
      </c>
      <c r="G1320" s="9">
        <v>46</v>
      </c>
      <c r="H1320" s="66">
        <v>1357</v>
      </c>
      <c r="I1320" s="9">
        <v>52.699199999999998</v>
      </c>
      <c r="J1320" s="10">
        <v>1.1456347826086957</v>
      </c>
      <c r="K1320" s="66">
        <v>353.82018358015182</v>
      </c>
      <c r="L1320" s="69">
        <v>1710.8201835801519</v>
      </c>
      <c r="M1320" s="64">
        <v>0</v>
      </c>
      <c r="N1320" s="67">
        <v>0</v>
      </c>
      <c r="O1320" s="64">
        <f t="shared" si="40"/>
        <v>1710.8201835801519</v>
      </c>
      <c r="P1320" s="64">
        <f t="shared" si="41"/>
        <v>37.191743121307653</v>
      </c>
    </row>
    <row r="1321" spans="1:16" ht="15">
      <c r="A1321" s="3" t="s">
        <v>1405</v>
      </c>
      <c r="B1321" s="3" t="s">
        <v>1406</v>
      </c>
      <c r="C1321" s="61" t="s">
        <v>3359</v>
      </c>
      <c r="D1321" s="3" t="s">
        <v>3248</v>
      </c>
      <c r="E1321" s="3">
        <v>1</v>
      </c>
      <c r="F1321" s="3" t="s">
        <v>3223</v>
      </c>
      <c r="G1321" s="9">
        <v>715.77025900000001</v>
      </c>
      <c r="H1321" s="66">
        <v>21115.2226405</v>
      </c>
      <c r="I1321" s="9">
        <v>836.99021946931998</v>
      </c>
      <c r="J1321" s="10">
        <v>1.1693559615604536</v>
      </c>
      <c r="K1321" s="66">
        <v>6402.2672359137741</v>
      </c>
      <c r="L1321" s="69">
        <v>27517.489876413776</v>
      </c>
      <c r="M1321" s="64">
        <v>486750.12226757727</v>
      </c>
      <c r="N1321" s="67">
        <v>9756.5662944300529</v>
      </c>
      <c r="O1321" s="64">
        <f t="shared" si="40"/>
        <v>37274.056170843833</v>
      </c>
      <c r="P1321" s="64">
        <f t="shared" si="41"/>
        <v>52.075446977804411</v>
      </c>
    </row>
    <row r="1322" spans="1:16" ht="15">
      <c r="A1322" s="3" t="str">
        <f>"059014"</f>
        <v>059014</v>
      </c>
      <c r="B1322" s="3" t="s">
        <v>2800</v>
      </c>
      <c r="C1322" s="61" t="s">
        <v>3359</v>
      </c>
      <c r="D1322" s="3" t="s">
        <v>3249</v>
      </c>
      <c r="E1322" s="3">
        <v>1</v>
      </c>
      <c r="F1322" s="3" t="s">
        <v>3220</v>
      </c>
      <c r="G1322" s="9">
        <v>73</v>
      </c>
      <c r="H1322" s="66">
        <v>2153.5</v>
      </c>
      <c r="I1322" s="9">
        <v>86.223600000000005</v>
      </c>
      <c r="J1322" s="10">
        <v>1.181145205479452</v>
      </c>
      <c r="K1322" s="66">
        <v>698.40825465585431</v>
      </c>
      <c r="L1322" s="69">
        <v>2851.9082546558543</v>
      </c>
      <c r="M1322" s="64">
        <v>0</v>
      </c>
      <c r="N1322" s="67">
        <v>0</v>
      </c>
      <c r="O1322" s="64">
        <f t="shared" si="40"/>
        <v>2851.9082546558543</v>
      </c>
      <c r="P1322" s="64">
        <f t="shared" si="41"/>
        <v>39.067236365148688</v>
      </c>
    </row>
    <row r="1323" spans="1:16" ht="15">
      <c r="A1323" s="3" t="s">
        <v>934</v>
      </c>
      <c r="B1323" s="3" t="s">
        <v>935</v>
      </c>
      <c r="C1323" s="61" t="s">
        <v>3359</v>
      </c>
      <c r="D1323" s="3" t="s">
        <v>3248</v>
      </c>
      <c r="E1323" s="3">
        <v>1</v>
      </c>
      <c r="F1323" s="3" t="s">
        <v>3223</v>
      </c>
      <c r="G1323" s="9">
        <v>1413.2979089999999</v>
      </c>
      <c r="H1323" s="66">
        <v>41692.288315499994</v>
      </c>
      <c r="I1323" s="9">
        <v>1742.8320678235</v>
      </c>
      <c r="J1323" s="10">
        <v>1.2331668056147249</v>
      </c>
      <c r="K1323" s="66">
        <v>17404.441809598422</v>
      </c>
      <c r="L1323" s="69">
        <v>59096.730125098416</v>
      </c>
      <c r="M1323" s="64">
        <v>1398263.9759199575</v>
      </c>
      <c r="N1323" s="67">
        <v>28027.224964264034</v>
      </c>
      <c r="O1323" s="64">
        <f t="shared" si="40"/>
        <v>87123.955089362455</v>
      </c>
      <c r="P1323" s="64">
        <f t="shared" si="41"/>
        <v>61.64585296174981</v>
      </c>
    </row>
    <row r="1324" spans="1:16" ht="15">
      <c r="A1324" s="3" t="s">
        <v>1407</v>
      </c>
      <c r="B1324" s="3" t="s">
        <v>1408</v>
      </c>
      <c r="C1324" s="61" t="s">
        <v>3359</v>
      </c>
      <c r="D1324" s="3" t="s">
        <v>3248</v>
      </c>
      <c r="E1324" s="3">
        <v>1</v>
      </c>
      <c r="F1324" s="3" t="s">
        <v>3223</v>
      </c>
      <c r="G1324" s="9">
        <v>894.451009</v>
      </c>
      <c r="H1324" s="66">
        <v>26386.304765500001</v>
      </c>
      <c r="I1324" s="9">
        <v>1090.8962369758001</v>
      </c>
      <c r="J1324" s="10">
        <v>1.2196265932948376</v>
      </c>
      <c r="K1324" s="66">
        <v>10375.311473883807</v>
      </c>
      <c r="L1324" s="69">
        <v>36761.616239383809</v>
      </c>
      <c r="M1324" s="64">
        <v>1118574.3045298925</v>
      </c>
      <c r="N1324" s="67">
        <v>22421.040813611806</v>
      </c>
      <c r="O1324" s="64">
        <f t="shared" si="40"/>
        <v>59182.657052995615</v>
      </c>
      <c r="P1324" s="64">
        <f t="shared" si="41"/>
        <v>66.166460161034507</v>
      </c>
    </row>
    <row r="1325" spans="1:16" ht="15">
      <c r="A1325" s="3" t="s">
        <v>890</v>
      </c>
      <c r="B1325" s="3" t="s">
        <v>891</v>
      </c>
      <c r="C1325" s="61" t="s">
        <v>3331</v>
      </c>
      <c r="D1325" s="3" t="s">
        <v>3248</v>
      </c>
      <c r="E1325" s="3">
        <v>1</v>
      </c>
      <c r="F1325" s="3" t="s">
        <v>3223</v>
      </c>
      <c r="G1325" s="9">
        <v>1084.458603</v>
      </c>
      <c r="H1325" s="66">
        <v>31991.5287885</v>
      </c>
      <c r="I1325" s="9">
        <v>1534.08028546899</v>
      </c>
      <c r="J1325" s="10">
        <v>1.4146047449161967</v>
      </c>
      <c r="K1325" s="66">
        <v>23746.899067469971</v>
      </c>
      <c r="L1325" s="69">
        <v>55738.427855969974</v>
      </c>
      <c r="M1325" s="64">
        <v>787877.89249390783</v>
      </c>
      <c r="N1325" s="67">
        <v>15792.462165642646</v>
      </c>
      <c r="O1325" s="64">
        <f t="shared" si="40"/>
        <v>71530.89002161262</v>
      </c>
      <c r="P1325" s="64">
        <f t="shared" si="41"/>
        <v>65.960000523517095</v>
      </c>
    </row>
    <row r="1326" spans="1:16" ht="15">
      <c r="A1326" s="3" t="str">
        <f>"057653"</f>
        <v>057653</v>
      </c>
      <c r="B1326" s="3" t="s">
        <v>2714</v>
      </c>
      <c r="C1326" s="61" t="s">
        <v>3331</v>
      </c>
      <c r="D1326" s="3" t="s">
        <v>3249</v>
      </c>
      <c r="E1326" s="3">
        <v>1</v>
      </c>
      <c r="F1326" s="3" t="s">
        <v>3220</v>
      </c>
      <c r="G1326" s="9">
        <v>125</v>
      </c>
      <c r="H1326" s="66">
        <v>3687.5</v>
      </c>
      <c r="I1326" s="9">
        <v>131.46180000000001</v>
      </c>
      <c r="J1326" s="10">
        <v>1.0516944000000001</v>
      </c>
      <c r="K1326" s="66">
        <v>341.28183398886881</v>
      </c>
      <c r="L1326" s="69">
        <v>4028.781833988869</v>
      </c>
      <c r="M1326" s="64">
        <v>0</v>
      </c>
      <c r="N1326" s="67">
        <v>0</v>
      </c>
      <c r="O1326" s="64">
        <f t="shared" si="40"/>
        <v>4028.781833988869</v>
      </c>
      <c r="P1326" s="64">
        <f t="shared" si="41"/>
        <v>32.230254671910956</v>
      </c>
    </row>
    <row r="1327" spans="1:16" ht="15">
      <c r="A1327" s="3" t="s">
        <v>724</v>
      </c>
      <c r="B1327" s="3" t="s">
        <v>1735</v>
      </c>
      <c r="C1327" s="61" t="s">
        <v>3331</v>
      </c>
      <c r="D1327" s="3" t="s">
        <v>3248</v>
      </c>
      <c r="E1327" s="3">
        <v>1</v>
      </c>
      <c r="F1327" s="3" t="s">
        <v>3223</v>
      </c>
      <c r="G1327" s="9">
        <v>1677.8913050000001</v>
      </c>
      <c r="H1327" s="66">
        <v>49497.793497500003</v>
      </c>
      <c r="I1327" s="9">
        <v>2331.8440803714998</v>
      </c>
      <c r="J1327" s="10">
        <v>1.3897468050658381</v>
      </c>
      <c r="K1327" s="66">
        <v>34538.704775897706</v>
      </c>
      <c r="L1327" s="69">
        <v>84036.498273397709</v>
      </c>
      <c r="M1327" s="64">
        <v>1762335.7378063519</v>
      </c>
      <c r="N1327" s="67">
        <v>35324.789193373559</v>
      </c>
      <c r="O1327" s="64">
        <f t="shared" si="40"/>
        <v>119361.28746677126</v>
      </c>
      <c r="P1327" s="64">
        <f t="shared" si="41"/>
        <v>71.137675671292214</v>
      </c>
    </row>
    <row r="1328" spans="1:16" ht="15">
      <c r="A1328" s="3" t="s">
        <v>1409</v>
      </c>
      <c r="B1328" s="3" t="s">
        <v>1410</v>
      </c>
      <c r="C1328" s="61" t="s">
        <v>3331</v>
      </c>
      <c r="D1328" s="3" t="s">
        <v>3248</v>
      </c>
      <c r="E1328" s="3">
        <v>1</v>
      </c>
      <c r="F1328" s="3" t="s">
        <v>3224</v>
      </c>
      <c r="G1328" s="9">
        <v>2193.22957</v>
      </c>
      <c r="H1328" s="66">
        <v>64700.272315000002</v>
      </c>
      <c r="I1328" s="9">
        <v>2589.6568379780201</v>
      </c>
      <c r="J1328" s="10">
        <v>1.1807504665268671</v>
      </c>
      <c r="K1328" s="66">
        <v>20937.420696823679</v>
      </c>
      <c r="L1328" s="69">
        <v>85637.693011823678</v>
      </c>
      <c r="M1328" s="64">
        <v>2683438.2562073418</v>
      </c>
      <c r="N1328" s="67">
        <v>53787.645952155217</v>
      </c>
      <c r="O1328" s="64">
        <f t="shared" si="40"/>
        <v>139425.33896397889</v>
      </c>
      <c r="P1328" s="64">
        <f t="shared" si="41"/>
        <v>63.570791161628783</v>
      </c>
    </row>
    <row r="1329" spans="1:16" ht="15">
      <c r="A1329" s="3" t="s">
        <v>1411</v>
      </c>
      <c r="B1329" s="3" t="s">
        <v>1067</v>
      </c>
      <c r="C1329" s="61" t="s">
        <v>3331</v>
      </c>
      <c r="D1329" s="3" t="s">
        <v>3248</v>
      </c>
      <c r="E1329" s="3">
        <v>1</v>
      </c>
      <c r="F1329" s="3" t="s">
        <v>3223</v>
      </c>
      <c r="G1329" s="9">
        <v>660.97308199999998</v>
      </c>
      <c r="H1329" s="66">
        <v>19498.705919</v>
      </c>
      <c r="I1329" s="9">
        <v>932.56948663950095</v>
      </c>
      <c r="J1329" s="10">
        <v>1.410903881013873</v>
      </c>
      <c r="K1329" s="66">
        <v>14344.442582585603</v>
      </c>
      <c r="L1329" s="69">
        <v>33843.148501585601</v>
      </c>
      <c r="M1329" s="64">
        <v>1000770.0876196322</v>
      </c>
      <c r="N1329" s="67">
        <v>20059.737550463287</v>
      </c>
      <c r="O1329" s="64">
        <f t="shared" si="40"/>
        <v>53902.886052048889</v>
      </c>
      <c r="P1329" s="64">
        <f t="shared" si="41"/>
        <v>81.550803686206535</v>
      </c>
    </row>
    <row r="1330" spans="1:16" ht="15">
      <c r="A1330" s="3" t="str">
        <f>"058164"</f>
        <v>058164</v>
      </c>
      <c r="B1330" s="3" t="s">
        <v>2721</v>
      </c>
      <c r="C1330" s="61" t="s">
        <v>3331</v>
      </c>
      <c r="D1330" s="3" t="s">
        <v>3249</v>
      </c>
      <c r="E1330" s="3">
        <v>1</v>
      </c>
      <c r="F1330" s="3" t="s">
        <v>3220</v>
      </c>
      <c r="G1330" s="9">
        <v>75</v>
      </c>
      <c r="H1330" s="66">
        <v>2212.5</v>
      </c>
      <c r="I1330" s="9">
        <v>83.099199999999996</v>
      </c>
      <c r="J1330" s="10">
        <v>1.1079893333333333</v>
      </c>
      <c r="K1330" s="66">
        <v>427.76158807803404</v>
      </c>
      <c r="L1330" s="69">
        <v>2640.261588078034</v>
      </c>
      <c r="M1330" s="64">
        <v>0</v>
      </c>
      <c r="N1330" s="67">
        <v>0</v>
      </c>
      <c r="O1330" s="64">
        <f t="shared" si="40"/>
        <v>2640.261588078034</v>
      </c>
      <c r="P1330" s="64">
        <f t="shared" si="41"/>
        <v>35.203487841040456</v>
      </c>
    </row>
    <row r="1331" spans="1:16" ht="15">
      <c r="A1331" s="3" t="s">
        <v>598</v>
      </c>
      <c r="B1331" s="3" t="s">
        <v>599</v>
      </c>
      <c r="C1331" s="61" t="s">
        <v>3298</v>
      </c>
      <c r="D1331" s="3" t="s">
        <v>3248</v>
      </c>
      <c r="E1331" s="3">
        <v>1</v>
      </c>
      <c r="F1331" s="3" t="s">
        <v>1905</v>
      </c>
      <c r="G1331" s="9">
        <v>2102.7318730000002</v>
      </c>
      <c r="H1331" s="66">
        <v>62030.590253500006</v>
      </c>
      <c r="I1331" s="9">
        <v>2554.97795776564</v>
      </c>
      <c r="J1331" s="10">
        <v>1.2150754884979289</v>
      </c>
      <c r="K1331" s="66">
        <v>23885.507633028366</v>
      </c>
      <c r="L1331" s="69">
        <v>85916.097886528369</v>
      </c>
      <c r="M1331" s="64">
        <v>1432418.5445773776</v>
      </c>
      <c r="N1331" s="67">
        <v>28711.829442248323</v>
      </c>
      <c r="O1331" s="64">
        <f t="shared" si="40"/>
        <v>114627.92732877668</v>
      </c>
      <c r="P1331" s="64">
        <f t="shared" si="41"/>
        <v>54.513810724348438</v>
      </c>
    </row>
    <row r="1332" spans="1:16" ht="15">
      <c r="A1332" s="3" t="str">
        <f>"012900"</f>
        <v>012900</v>
      </c>
      <c r="B1332" s="3" t="s">
        <v>3188</v>
      </c>
      <c r="C1332" s="61" t="s">
        <v>3298</v>
      </c>
      <c r="D1332" s="3" t="s">
        <v>3249</v>
      </c>
      <c r="E1332" s="3">
        <v>1</v>
      </c>
      <c r="F1332" s="3" t="s">
        <v>3220</v>
      </c>
      <c r="G1332" s="9">
        <v>44</v>
      </c>
      <c r="H1332" s="66">
        <v>1298</v>
      </c>
      <c r="I1332" s="9">
        <v>44</v>
      </c>
      <c r="J1332" s="10">
        <v>1</v>
      </c>
      <c r="K1332" s="66">
        <v>0</v>
      </c>
      <c r="L1332" s="69">
        <v>1298</v>
      </c>
      <c r="M1332" s="64">
        <v>0</v>
      </c>
      <c r="N1332" s="67">
        <v>0</v>
      </c>
      <c r="O1332" s="64">
        <f t="shared" si="40"/>
        <v>1298</v>
      </c>
      <c r="P1332" s="64">
        <f t="shared" si="41"/>
        <v>29.5</v>
      </c>
    </row>
    <row r="1333" spans="1:16" ht="15">
      <c r="A1333" s="3" t="s">
        <v>1412</v>
      </c>
      <c r="B1333" s="3" t="s">
        <v>1413</v>
      </c>
      <c r="C1333" s="61" t="s">
        <v>3298</v>
      </c>
      <c r="D1333" s="3" t="s">
        <v>3248</v>
      </c>
      <c r="E1333" s="3">
        <v>1</v>
      </c>
      <c r="F1333" s="3" t="s">
        <v>1904</v>
      </c>
      <c r="G1333" s="9">
        <v>1710.979327</v>
      </c>
      <c r="H1333" s="66">
        <v>50473.890146500002</v>
      </c>
      <c r="I1333" s="9">
        <v>2095.1990385238901</v>
      </c>
      <c r="J1333" s="10">
        <v>1.2245612822205012</v>
      </c>
      <c r="K1333" s="66">
        <v>20292.675075605417</v>
      </c>
      <c r="L1333" s="69">
        <v>70766.565222105419</v>
      </c>
      <c r="M1333" s="64">
        <v>2854252.264182989</v>
      </c>
      <c r="N1333" s="67">
        <v>57211.493459512516</v>
      </c>
      <c r="O1333" s="64">
        <f t="shared" si="40"/>
        <v>127978.05868161793</v>
      </c>
      <c r="P1333" s="64">
        <f t="shared" si="41"/>
        <v>74.79813266125916</v>
      </c>
    </row>
    <row r="1334" spans="1:16" ht="15">
      <c r="A1334" s="3" t="str">
        <f>"134528"</f>
        <v>134528</v>
      </c>
      <c r="B1334" s="3" t="s">
        <v>3038</v>
      </c>
      <c r="C1334" s="61" t="s">
        <v>3298</v>
      </c>
      <c r="D1334" s="3" t="s">
        <v>3249</v>
      </c>
      <c r="E1334" s="3">
        <v>1</v>
      </c>
      <c r="F1334" s="3" t="s">
        <v>3220</v>
      </c>
      <c r="G1334" s="9">
        <v>187</v>
      </c>
      <c r="H1334" s="66">
        <v>5516.5</v>
      </c>
      <c r="I1334" s="9">
        <v>187</v>
      </c>
      <c r="J1334" s="10">
        <v>1</v>
      </c>
      <c r="K1334" s="66">
        <v>0</v>
      </c>
      <c r="L1334" s="69">
        <v>5516.5</v>
      </c>
      <c r="M1334" s="64">
        <v>0</v>
      </c>
      <c r="N1334" s="67">
        <v>0</v>
      </c>
      <c r="O1334" s="64">
        <f t="shared" si="40"/>
        <v>5516.5</v>
      </c>
      <c r="P1334" s="64">
        <f t="shared" si="41"/>
        <v>29.5</v>
      </c>
    </row>
    <row r="1335" spans="1:16" ht="15">
      <c r="A1335" s="3" t="s">
        <v>1414</v>
      </c>
      <c r="B1335" s="3" t="s">
        <v>1415</v>
      </c>
      <c r="C1335" s="61" t="s">
        <v>3298</v>
      </c>
      <c r="D1335" s="3" t="s">
        <v>3248</v>
      </c>
      <c r="E1335" s="3">
        <v>1</v>
      </c>
      <c r="F1335" s="3" t="s">
        <v>1904</v>
      </c>
      <c r="G1335" s="9">
        <v>4068.7237749999999</v>
      </c>
      <c r="H1335" s="66">
        <v>120027.35136250001</v>
      </c>
      <c r="I1335" s="9">
        <v>4767.8071912218302</v>
      </c>
      <c r="J1335" s="10">
        <v>1.1718188441587756</v>
      </c>
      <c r="K1335" s="66">
        <v>36922.292611871235</v>
      </c>
      <c r="L1335" s="69">
        <v>156949.64397437125</v>
      </c>
      <c r="M1335" s="64">
        <v>3292760.9329466326</v>
      </c>
      <c r="N1335" s="67">
        <v>66001.093506336663</v>
      </c>
      <c r="O1335" s="64">
        <f t="shared" si="40"/>
        <v>222950.73748070793</v>
      </c>
      <c r="P1335" s="64">
        <f t="shared" si="41"/>
        <v>54.796233366986911</v>
      </c>
    </row>
    <row r="1336" spans="1:16" ht="15">
      <c r="A1336" s="3" t="s">
        <v>1416</v>
      </c>
      <c r="B1336" s="3" t="s">
        <v>1417</v>
      </c>
      <c r="C1336" s="61" t="s">
        <v>3298</v>
      </c>
      <c r="D1336" s="3" t="s">
        <v>3248</v>
      </c>
      <c r="E1336" s="3">
        <v>1</v>
      </c>
      <c r="F1336" s="3" t="s">
        <v>3224</v>
      </c>
      <c r="G1336" s="9">
        <v>1361.1749339999999</v>
      </c>
      <c r="H1336" s="66">
        <v>40154.660552999994</v>
      </c>
      <c r="I1336" s="9">
        <v>1668.2669936708201</v>
      </c>
      <c r="J1336" s="10">
        <v>1.2256080772574822</v>
      </c>
      <c r="K1336" s="66">
        <v>16219.155858719932</v>
      </c>
      <c r="L1336" s="69">
        <v>56373.816411719927</v>
      </c>
      <c r="M1336" s="64">
        <v>2272431.7453246191</v>
      </c>
      <c r="N1336" s="67">
        <v>45549.307454799324</v>
      </c>
      <c r="O1336" s="64">
        <f t="shared" si="40"/>
        <v>101923.12386651925</v>
      </c>
      <c r="P1336" s="64">
        <f t="shared" si="41"/>
        <v>74.878783998030386</v>
      </c>
    </row>
    <row r="1337" spans="1:16" ht="15">
      <c r="A1337" s="3" t="s">
        <v>1418</v>
      </c>
      <c r="B1337" s="3" t="s">
        <v>1742</v>
      </c>
      <c r="C1337" s="61" t="s">
        <v>3345</v>
      </c>
      <c r="D1337" s="3" t="s">
        <v>3248</v>
      </c>
      <c r="E1337" s="3">
        <v>1</v>
      </c>
      <c r="F1337" s="3" t="s">
        <v>3224</v>
      </c>
      <c r="G1337" s="9">
        <v>821.67436699999996</v>
      </c>
      <c r="H1337" s="66">
        <v>24239.3938265</v>
      </c>
      <c r="I1337" s="9">
        <v>1121.2567865860101</v>
      </c>
      <c r="J1337" s="10">
        <v>1.3645999335233128</v>
      </c>
      <c r="K1337" s="66">
        <v>15822.532047902469</v>
      </c>
      <c r="L1337" s="69">
        <v>40061.92587440247</v>
      </c>
      <c r="M1337" s="64">
        <v>887120.85913395253</v>
      </c>
      <c r="N1337" s="67">
        <v>17781.718128781831</v>
      </c>
      <c r="O1337" s="64">
        <f t="shared" si="40"/>
        <v>57843.644003184301</v>
      </c>
      <c r="P1337" s="64">
        <f t="shared" si="41"/>
        <v>70.397284284741843</v>
      </c>
    </row>
    <row r="1338" spans="1:16" ht="15">
      <c r="A1338" s="3" t="str">
        <f>"122879"</f>
        <v>122879</v>
      </c>
      <c r="B1338" s="3" t="s">
        <v>3061</v>
      </c>
      <c r="C1338" s="61" t="s">
        <v>3345</v>
      </c>
      <c r="D1338" s="3" t="s">
        <v>3249</v>
      </c>
      <c r="E1338" s="3">
        <v>1</v>
      </c>
      <c r="F1338" s="3" t="s">
        <v>3220</v>
      </c>
      <c r="G1338" s="9">
        <v>22</v>
      </c>
      <c r="H1338" s="66">
        <v>649</v>
      </c>
      <c r="I1338" s="9">
        <v>22</v>
      </c>
      <c r="J1338" s="10">
        <v>1</v>
      </c>
      <c r="K1338" s="66">
        <v>0</v>
      </c>
      <c r="L1338" s="69">
        <v>649</v>
      </c>
      <c r="M1338" s="64">
        <v>0</v>
      </c>
      <c r="N1338" s="67">
        <v>0</v>
      </c>
      <c r="O1338" s="64">
        <f t="shared" si="40"/>
        <v>649</v>
      </c>
      <c r="P1338" s="64">
        <f t="shared" si="41"/>
        <v>29.5</v>
      </c>
    </row>
    <row r="1339" spans="1:16" ht="15">
      <c r="A1339" s="3" t="str">
        <f>"123356"</f>
        <v>123356</v>
      </c>
      <c r="B1339" s="3" t="s">
        <v>3059</v>
      </c>
      <c r="C1339" s="61" t="s">
        <v>3345</v>
      </c>
      <c r="D1339" s="3" t="s">
        <v>3249</v>
      </c>
      <c r="E1339" s="3">
        <v>1</v>
      </c>
      <c r="F1339" s="3" t="s">
        <v>3220</v>
      </c>
      <c r="G1339" s="9">
        <v>104</v>
      </c>
      <c r="H1339" s="66">
        <v>3068</v>
      </c>
      <c r="I1339" s="9">
        <v>104</v>
      </c>
      <c r="J1339" s="10">
        <v>1</v>
      </c>
      <c r="K1339" s="66">
        <v>0</v>
      </c>
      <c r="L1339" s="69">
        <v>3068</v>
      </c>
      <c r="M1339" s="64">
        <v>0</v>
      </c>
      <c r="N1339" s="67">
        <v>0</v>
      </c>
      <c r="O1339" s="64">
        <f t="shared" si="40"/>
        <v>3068</v>
      </c>
      <c r="P1339" s="64">
        <f t="shared" si="41"/>
        <v>29.5</v>
      </c>
    </row>
    <row r="1340" spans="1:16" ht="15">
      <c r="A1340" s="3" t="s">
        <v>498</v>
      </c>
      <c r="B1340" s="3" t="s">
        <v>499</v>
      </c>
      <c r="C1340" s="61" t="s">
        <v>3345</v>
      </c>
      <c r="D1340" s="3" t="s">
        <v>456</v>
      </c>
      <c r="E1340" s="3">
        <v>1</v>
      </c>
      <c r="F1340" s="3" t="s">
        <v>1897</v>
      </c>
      <c r="G1340" s="9">
        <v>437.32900100000001</v>
      </c>
      <c r="H1340" s="66">
        <v>12901.205529500001</v>
      </c>
      <c r="I1340" s="9">
        <v>624.00948971911305</v>
      </c>
      <c r="J1340" s="10">
        <v>1.4268651022279517</v>
      </c>
      <c r="K1340" s="66">
        <v>9859.5839487444864</v>
      </c>
      <c r="L1340" s="69">
        <v>22760.789478244486</v>
      </c>
      <c r="M1340" s="64">
        <v>0</v>
      </c>
      <c r="N1340" s="67">
        <v>0</v>
      </c>
      <c r="O1340" s="64">
        <f t="shared" si="40"/>
        <v>22760.789478244486</v>
      </c>
      <c r="P1340" s="64">
        <f t="shared" si="41"/>
        <v>52.045003707047741</v>
      </c>
    </row>
    <row r="1341" spans="1:16" ht="15">
      <c r="A1341" s="19">
        <v>78048</v>
      </c>
      <c r="B1341" s="20" t="s">
        <v>1914</v>
      </c>
      <c r="C1341" s="61" t="s">
        <v>3345</v>
      </c>
      <c r="D1341" s="19" t="s">
        <v>1973</v>
      </c>
      <c r="E1341" s="19">
        <v>1</v>
      </c>
      <c r="F1341" s="19" t="s">
        <v>1974</v>
      </c>
      <c r="G1341" s="9">
        <v>26.14</v>
      </c>
      <c r="H1341" s="66">
        <v>771.13</v>
      </c>
      <c r="I1341" s="9">
        <v>121.30585900000001</v>
      </c>
      <c r="J1341" s="10">
        <v>4.640621996939557</v>
      </c>
      <c r="K1341" s="66">
        <v>5026.2123390767347</v>
      </c>
      <c r="L1341" s="69">
        <v>5797.3423390767348</v>
      </c>
      <c r="M1341" s="64">
        <v>0</v>
      </c>
      <c r="N1341" s="67">
        <v>0</v>
      </c>
      <c r="O1341" s="64">
        <f t="shared" si="40"/>
        <v>5797.3423390767348</v>
      </c>
      <c r="P1341" s="64">
        <f t="shared" si="41"/>
        <v>221.78050264256828</v>
      </c>
    </row>
    <row r="1342" spans="1:16" ht="15">
      <c r="A1342" s="3" t="s">
        <v>1419</v>
      </c>
      <c r="B1342" s="3" t="s">
        <v>1420</v>
      </c>
      <c r="C1342" s="61" t="s">
        <v>3345</v>
      </c>
      <c r="D1342" s="3" t="s">
        <v>3248</v>
      </c>
      <c r="E1342" s="3">
        <v>1</v>
      </c>
      <c r="F1342" s="3" t="s">
        <v>3223</v>
      </c>
      <c r="G1342" s="9">
        <v>1192.3970099999999</v>
      </c>
      <c r="H1342" s="66">
        <v>35175.711794999996</v>
      </c>
      <c r="I1342" s="9">
        <v>1663.7387794608001</v>
      </c>
      <c r="J1342" s="10">
        <v>1.3952892916603339</v>
      </c>
      <c r="K1342" s="66">
        <v>24894.051737463276</v>
      </c>
      <c r="L1342" s="69">
        <v>60069.763532463272</v>
      </c>
      <c r="M1342" s="64">
        <v>1525575.859041898</v>
      </c>
      <c r="N1342" s="67">
        <v>30579.102757250228</v>
      </c>
      <c r="O1342" s="64">
        <f t="shared" si="40"/>
        <v>90648.866289713507</v>
      </c>
      <c r="P1342" s="64">
        <f t="shared" si="41"/>
        <v>76.022386444690525</v>
      </c>
    </row>
    <row r="1343" spans="1:16" ht="15">
      <c r="A1343" s="3" t="s">
        <v>1421</v>
      </c>
      <c r="B1343" s="3" t="s">
        <v>1422</v>
      </c>
      <c r="C1343" s="61" t="s">
        <v>3345</v>
      </c>
      <c r="D1343" s="3" t="s">
        <v>3248</v>
      </c>
      <c r="E1343" s="3">
        <v>1</v>
      </c>
      <c r="F1343" s="3" t="s">
        <v>1904</v>
      </c>
      <c r="G1343" s="9">
        <v>1816.815249</v>
      </c>
      <c r="H1343" s="66">
        <v>53596.049845499998</v>
      </c>
      <c r="I1343" s="9">
        <v>2474.02981042384</v>
      </c>
      <c r="J1343" s="10">
        <v>1.3617398972105612</v>
      </c>
      <c r="K1343" s="66">
        <v>34710.976948670308</v>
      </c>
      <c r="L1343" s="69">
        <v>88307.026794170306</v>
      </c>
      <c r="M1343" s="64">
        <v>1377762.1410870766</v>
      </c>
      <c r="N1343" s="67">
        <v>27616.280001841413</v>
      </c>
      <c r="O1343" s="64">
        <f t="shared" si="40"/>
        <v>115923.30679601172</v>
      </c>
      <c r="P1343" s="64">
        <f t="shared" si="41"/>
        <v>63.805775991707186</v>
      </c>
    </row>
    <row r="1344" spans="1:16" ht="15">
      <c r="A1344" s="3" t="s">
        <v>1423</v>
      </c>
      <c r="B1344" s="3" t="s">
        <v>1424</v>
      </c>
      <c r="C1344" s="61" t="s">
        <v>3345</v>
      </c>
      <c r="D1344" s="3" t="s">
        <v>3248</v>
      </c>
      <c r="E1344" s="3">
        <v>1</v>
      </c>
      <c r="F1344" s="3" t="s">
        <v>3224</v>
      </c>
      <c r="G1344" s="9">
        <v>741.77538900000002</v>
      </c>
      <c r="H1344" s="66">
        <v>21882.373975499999</v>
      </c>
      <c r="I1344" s="9">
        <v>1016.99378288437</v>
      </c>
      <c r="J1344" s="10">
        <v>1.3710265910215713</v>
      </c>
      <c r="K1344" s="66">
        <v>14535.738991044062</v>
      </c>
      <c r="L1344" s="69">
        <v>36418.11296654406</v>
      </c>
      <c r="M1344" s="64">
        <v>850484.96443869197</v>
      </c>
      <c r="N1344" s="67">
        <v>17047.377203123935</v>
      </c>
      <c r="O1344" s="64">
        <f t="shared" si="40"/>
        <v>53465.490169667995</v>
      </c>
      <c r="P1344" s="64">
        <f t="shared" si="41"/>
        <v>72.077735339461356</v>
      </c>
    </row>
    <row r="1345" spans="1:16" ht="15">
      <c r="A1345" s="3" t="s">
        <v>1425</v>
      </c>
      <c r="B1345" s="3" t="s">
        <v>1426</v>
      </c>
      <c r="C1345" s="61" t="s">
        <v>3308</v>
      </c>
      <c r="D1345" s="3" t="s">
        <v>3248</v>
      </c>
      <c r="E1345" s="3">
        <v>1</v>
      </c>
      <c r="F1345" s="3" t="s">
        <v>1907</v>
      </c>
      <c r="G1345" s="9">
        <v>2947.7965359999998</v>
      </c>
      <c r="H1345" s="66">
        <v>86959.997812000001</v>
      </c>
      <c r="I1345" s="9">
        <v>3379.2391347928301</v>
      </c>
      <c r="J1345" s="10">
        <v>1.1463610508811692</v>
      </c>
      <c r="K1345" s="66">
        <v>22786.765510684421</v>
      </c>
      <c r="L1345" s="69">
        <v>109746.76332268442</v>
      </c>
      <c r="M1345" s="64">
        <v>1725983.227091796</v>
      </c>
      <c r="N1345" s="67">
        <v>34596.128501716725</v>
      </c>
      <c r="O1345" s="64">
        <f t="shared" si="40"/>
        <v>144342.89182440116</v>
      </c>
      <c r="P1345" s="64">
        <f t="shared" si="41"/>
        <v>48.96636862877471</v>
      </c>
    </row>
    <row r="1346" spans="1:16" ht="15">
      <c r="A1346" s="3" t="s">
        <v>1677</v>
      </c>
      <c r="B1346" s="3" t="s">
        <v>1886</v>
      </c>
      <c r="C1346" s="61" t="s">
        <v>3308</v>
      </c>
      <c r="D1346" s="3" t="s">
        <v>1673</v>
      </c>
      <c r="E1346" s="3">
        <v>1</v>
      </c>
      <c r="F1346" s="3" t="s">
        <v>1673</v>
      </c>
      <c r="G1346" s="9">
        <v>606.74444800000003</v>
      </c>
      <c r="H1346" s="66">
        <v>17898.961216</v>
      </c>
      <c r="I1346" s="9">
        <v>657.61042048664206</v>
      </c>
      <c r="J1346" s="10">
        <v>1.0838342611198348</v>
      </c>
      <c r="K1346" s="66">
        <v>2686.5010334378194</v>
      </c>
      <c r="L1346" s="69">
        <v>20585.46224943782</v>
      </c>
      <c r="M1346" s="64">
        <v>0</v>
      </c>
      <c r="N1346" s="67">
        <v>0</v>
      </c>
      <c r="O1346" s="64">
        <f t="shared" si="40"/>
        <v>20585.46224943782</v>
      </c>
      <c r="P1346" s="64">
        <f t="shared" si="41"/>
        <v>33.927730723030564</v>
      </c>
    </row>
    <row r="1347" spans="1:16" ht="15">
      <c r="A1347" s="3" t="s">
        <v>1427</v>
      </c>
      <c r="B1347" s="3" t="s">
        <v>1428</v>
      </c>
      <c r="C1347" s="61" t="s">
        <v>3308</v>
      </c>
      <c r="D1347" s="3" t="s">
        <v>3248</v>
      </c>
      <c r="E1347" s="3">
        <v>1</v>
      </c>
      <c r="F1347" s="3" t="s">
        <v>1904</v>
      </c>
      <c r="G1347" s="9">
        <v>1645.9279779999999</v>
      </c>
      <c r="H1347" s="66">
        <v>48554.875350999995</v>
      </c>
      <c r="I1347" s="9">
        <v>1916.66716615364</v>
      </c>
      <c r="J1347" s="10">
        <v>1.1644903007740477</v>
      </c>
      <c r="K1347" s="66">
        <v>14299.168446211821</v>
      </c>
      <c r="L1347" s="69">
        <v>62854.043797211816</v>
      </c>
      <c r="M1347" s="64">
        <v>1533283.5780287364</v>
      </c>
      <c r="N1347" s="67">
        <v>30733.598601901678</v>
      </c>
      <c r="O1347" s="64">
        <f t="shared" ref="O1347:O1410" si="42">(N1347+L1347)</f>
        <v>93587.642399113494</v>
      </c>
      <c r="P1347" s="64">
        <f t="shared" ref="P1347:P1410" si="43">O1347/G1347</f>
        <v>56.860107884449299</v>
      </c>
    </row>
    <row r="1348" spans="1:16" ht="15">
      <c r="A1348" s="3" t="s">
        <v>1429</v>
      </c>
      <c r="B1348" s="3" t="s">
        <v>1430</v>
      </c>
      <c r="C1348" s="61" t="s">
        <v>3308</v>
      </c>
      <c r="D1348" s="3" t="s">
        <v>3248</v>
      </c>
      <c r="E1348" s="3">
        <v>1</v>
      </c>
      <c r="F1348" s="3" t="s">
        <v>1904</v>
      </c>
      <c r="G1348" s="9">
        <v>1901.379015</v>
      </c>
      <c r="H1348" s="66">
        <v>56090.680942500003</v>
      </c>
      <c r="I1348" s="9">
        <v>2277.30583467212</v>
      </c>
      <c r="J1348" s="10">
        <v>1.19771272150709</v>
      </c>
      <c r="K1348" s="66">
        <v>19854.683596413332</v>
      </c>
      <c r="L1348" s="69">
        <v>75945.364538913331</v>
      </c>
      <c r="M1348" s="64">
        <v>1037252.3869126036</v>
      </c>
      <c r="N1348" s="67">
        <v>20790.999763540745</v>
      </c>
      <c r="O1348" s="64">
        <f t="shared" si="42"/>
        <v>96736.36430245408</v>
      </c>
      <c r="P1348" s="64">
        <f t="shared" si="43"/>
        <v>50.87694959253249</v>
      </c>
    </row>
    <row r="1349" spans="1:16" ht="15">
      <c r="A1349" s="3" t="s">
        <v>1431</v>
      </c>
      <c r="B1349" s="3" t="s">
        <v>1432</v>
      </c>
      <c r="C1349" s="61" t="s">
        <v>3308</v>
      </c>
      <c r="D1349" s="3" t="s">
        <v>3248</v>
      </c>
      <c r="E1349" s="3">
        <v>1</v>
      </c>
      <c r="F1349" s="3" t="s">
        <v>3223</v>
      </c>
      <c r="G1349" s="9">
        <v>1369.0836420000001</v>
      </c>
      <c r="H1349" s="66">
        <v>40387.967439</v>
      </c>
      <c r="I1349" s="9">
        <v>1602.5123581395901</v>
      </c>
      <c r="J1349" s="10">
        <v>1.1704999672617447</v>
      </c>
      <c r="K1349" s="66">
        <v>12328.60508678483</v>
      </c>
      <c r="L1349" s="69">
        <v>52716.572525784832</v>
      </c>
      <c r="M1349" s="64">
        <v>798550.2296725905</v>
      </c>
      <c r="N1349" s="67">
        <v>16006.381711703056</v>
      </c>
      <c r="O1349" s="64">
        <f t="shared" si="42"/>
        <v>68722.954237487895</v>
      </c>
      <c r="P1349" s="64">
        <f t="shared" si="43"/>
        <v>50.196315352285751</v>
      </c>
    </row>
    <row r="1350" spans="1:16" ht="15">
      <c r="A1350" s="3" t="s">
        <v>664</v>
      </c>
      <c r="B1350" s="3" t="s">
        <v>665</v>
      </c>
      <c r="C1350" s="61" t="s">
        <v>3308</v>
      </c>
      <c r="D1350" s="3" t="s">
        <v>3248</v>
      </c>
      <c r="E1350" s="3">
        <v>1</v>
      </c>
      <c r="F1350" s="3" t="s">
        <v>1906</v>
      </c>
      <c r="G1350" s="9">
        <v>3253.2626150000001</v>
      </c>
      <c r="H1350" s="66">
        <v>95971.247142499997</v>
      </c>
      <c r="I1350" s="9">
        <v>4174.6237663899001</v>
      </c>
      <c r="J1350" s="10">
        <v>1.2832114281649838</v>
      </c>
      <c r="K1350" s="66">
        <v>48661.955416825091</v>
      </c>
      <c r="L1350" s="69">
        <v>144633.20255932509</v>
      </c>
      <c r="M1350" s="64">
        <v>1471458.8777844659</v>
      </c>
      <c r="N1350" s="67">
        <v>29494.365658812862</v>
      </c>
      <c r="O1350" s="64">
        <f t="shared" si="42"/>
        <v>174127.56821813795</v>
      </c>
      <c r="P1350" s="64">
        <f t="shared" si="43"/>
        <v>53.523981560934622</v>
      </c>
    </row>
    <row r="1351" spans="1:16" ht="15">
      <c r="A1351" s="3" t="s">
        <v>500</v>
      </c>
      <c r="B1351" s="3" t="s">
        <v>501</v>
      </c>
      <c r="C1351" s="61" t="s">
        <v>3308</v>
      </c>
      <c r="D1351" s="3" t="s">
        <v>456</v>
      </c>
      <c r="E1351" s="3">
        <v>1</v>
      </c>
      <c r="F1351" s="3" t="s">
        <v>1897</v>
      </c>
      <c r="G1351" s="9">
        <v>662.64862400000004</v>
      </c>
      <c r="H1351" s="66">
        <v>19548.134408000002</v>
      </c>
      <c r="I1351" s="9">
        <v>886.74816356089696</v>
      </c>
      <c r="J1351" s="10">
        <v>1.3381875875756695</v>
      </c>
      <c r="K1351" s="66">
        <v>11835.881930329604</v>
      </c>
      <c r="L1351" s="69">
        <v>31384.016338329606</v>
      </c>
      <c r="M1351" s="64">
        <v>0</v>
      </c>
      <c r="N1351" s="67">
        <v>0</v>
      </c>
      <c r="O1351" s="64">
        <f t="shared" si="42"/>
        <v>31384.016338329606</v>
      </c>
      <c r="P1351" s="64">
        <f t="shared" si="43"/>
        <v>47.361475149353971</v>
      </c>
    </row>
    <row r="1352" spans="1:16" ht="15">
      <c r="A1352" s="19">
        <v>69773</v>
      </c>
      <c r="B1352" s="20" t="s">
        <v>1924</v>
      </c>
      <c r="C1352" s="61" t="s">
        <v>3308</v>
      </c>
      <c r="D1352" s="19" t="s">
        <v>1973</v>
      </c>
      <c r="E1352" s="19">
        <v>1</v>
      </c>
      <c r="F1352" s="19" t="s">
        <v>1974</v>
      </c>
      <c r="G1352" s="9">
        <v>12.27</v>
      </c>
      <c r="H1352" s="66">
        <v>361.96499999999997</v>
      </c>
      <c r="I1352" s="9">
        <v>51.560993999999994</v>
      </c>
      <c r="J1352" s="10">
        <v>4.2021999999999995</v>
      </c>
      <c r="K1352" s="66">
        <v>2075.1652003413315</v>
      </c>
      <c r="L1352" s="69">
        <v>2437.1302003413316</v>
      </c>
      <c r="M1352" s="64">
        <v>0</v>
      </c>
      <c r="N1352" s="67">
        <v>0</v>
      </c>
      <c r="O1352" s="64">
        <f t="shared" si="42"/>
        <v>2437.1302003413316</v>
      </c>
      <c r="P1352" s="64">
        <f t="shared" si="43"/>
        <v>198.62511820222753</v>
      </c>
    </row>
    <row r="1353" spans="1:16" ht="15">
      <c r="A1353" s="3" t="s">
        <v>763</v>
      </c>
      <c r="B1353" s="3" t="s">
        <v>764</v>
      </c>
      <c r="C1353" s="61" t="s">
        <v>3308</v>
      </c>
      <c r="D1353" s="3" t="s">
        <v>3248</v>
      </c>
      <c r="E1353" s="3">
        <v>1</v>
      </c>
      <c r="F1353" s="3" t="s">
        <v>1905</v>
      </c>
      <c r="G1353" s="9">
        <v>2268.1679600000002</v>
      </c>
      <c r="H1353" s="66">
        <v>66910.954820000014</v>
      </c>
      <c r="I1353" s="9">
        <v>3339.9749058669599</v>
      </c>
      <c r="J1353" s="10">
        <v>1.4725430236070169</v>
      </c>
      <c r="K1353" s="66">
        <v>56607.793519991901</v>
      </c>
      <c r="L1353" s="69">
        <v>123518.74833999191</v>
      </c>
      <c r="M1353" s="64">
        <v>1116701.9970310251</v>
      </c>
      <c r="N1353" s="67">
        <v>22383.511717263238</v>
      </c>
      <c r="O1353" s="64">
        <f t="shared" si="42"/>
        <v>145902.26005725516</v>
      </c>
      <c r="P1353" s="64">
        <f t="shared" si="43"/>
        <v>64.326038737120314</v>
      </c>
    </row>
    <row r="1354" spans="1:16" ht="15">
      <c r="A1354" s="3" t="s">
        <v>1433</v>
      </c>
      <c r="B1354" s="3" t="s">
        <v>1434</v>
      </c>
      <c r="C1354" s="61" t="s">
        <v>3308</v>
      </c>
      <c r="D1354" s="3" t="s">
        <v>3248</v>
      </c>
      <c r="E1354" s="3">
        <v>1</v>
      </c>
      <c r="F1354" s="3" t="s">
        <v>1904</v>
      </c>
      <c r="G1354" s="9">
        <v>1134.5559350000001</v>
      </c>
      <c r="H1354" s="66">
        <v>33469.400082500004</v>
      </c>
      <c r="I1354" s="9">
        <v>1313.7905086594601</v>
      </c>
      <c r="J1354" s="10">
        <v>1.1579777321948079</v>
      </c>
      <c r="K1354" s="66">
        <v>9466.3257935425736</v>
      </c>
      <c r="L1354" s="69">
        <v>42935.725876042576</v>
      </c>
      <c r="M1354" s="64">
        <v>748673.02101303835</v>
      </c>
      <c r="N1354" s="67">
        <v>15006.62789428022</v>
      </c>
      <c r="O1354" s="64">
        <f t="shared" si="42"/>
        <v>57942.353770322792</v>
      </c>
      <c r="P1354" s="64">
        <f t="shared" si="43"/>
        <v>51.070513125756804</v>
      </c>
    </row>
    <row r="1355" spans="1:16" ht="15">
      <c r="A1355" s="3" t="s">
        <v>1435</v>
      </c>
      <c r="B1355" s="3" t="s">
        <v>1436</v>
      </c>
      <c r="C1355" s="61" t="s">
        <v>3308</v>
      </c>
      <c r="D1355" s="3" t="s">
        <v>3248</v>
      </c>
      <c r="E1355" s="3">
        <v>1</v>
      </c>
      <c r="F1355" s="3" t="s">
        <v>3224</v>
      </c>
      <c r="G1355" s="9">
        <v>1489.223841</v>
      </c>
      <c r="H1355" s="66">
        <v>43932.103309500002</v>
      </c>
      <c r="I1355" s="9">
        <v>1798.2781062152301</v>
      </c>
      <c r="J1355" s="10">
        <v>1.2075270733026293</v>
      </c>
      <c r="K1355" s="66">
        <v>16322.79031148222</v>
      </c>
      <c r="L1355" s="69">
        <v>60254.89362098222</v>
      </c>
      <c r="M1355" s="64">
        <v>1666851.9559330812</v>
      </c>
      <c r="N1355" s="67">
        <v>33410.883463777573</v>
      </c>
      <c r="O1355" s="64">
        <f t="shared" si="42"/>
        <v>93665.777084759786</v>
      </c>
      <c r="P1355" s="64">
        <f t="shared" si="43"/>
        <v>62.895700771123892</v>
      </c>
    </row>
    <row r="1356" spans="1:16" ht="15">
      <c r="A1356" s="3" t="str">
        <f>"060012"</f>
        <v>060012</v>
      </c>
      <c r="B1356" s="3" t="s">
        <v>2625</v>
      </c>
      <c r="C1356" s="61" t="s">
        <v>3308</v>
      </c>
      <c r="D1356" s="3" t="s">
        <v>3249</v>
      </c>
      <c r="E1356" s="3">
        <v>1</v>
      </c>
      <c r="F1356" s="3" t="s">
        <v>3220</v>
      </c>
      <c r="G1356" s="9">
        <v>128</v>
      </c>
      <c r="H1356" s="66">
        <v>3776</v>
      </c>
      <c r="I1356" s="9">
        <v>132.9</v>
      </c>
      <c r="J1356" s="10">
        <v>1.03828125</v>
      </c>
      <c r="K1356" s="66">
        <v>258.79491574258816</v>
      </c>
      <c r="L1356" s="69">
        <v>4034.7949157425883</v>
      </c>
      <c r="M1356" s="64">
        <v>0</v>
      </c>
      <c r="N1356" s="67">
        <v>0</v>
      </c>
      <c r="O1356" s="64">
        <f t="shared" si="42"/>
        <v>4034.7949157425883</v>
      </c>
      <c r="P1356" s="64">
        <f t="shared" si="43"/>
        <v>31.521835279238971</v>
      </c>
    </row>
    <row r="1357" spans="1:16" ht="15">
      <c r="A1357" s="3" t="str">
        <f>"059816"</f>
        <v>059816</v>
      </c>
      <c r="B1357" s="3" t="s">
        <v>2702</v>
      </c>
      <c r="C1357" s="61" t="s">
        <v>3308</v>
      </c>
      <c r="D1357" s="3" t="s">
        <v>3249</v>
      </c>
      <c r="E1357" s="3">
        <v>1</v>
      </c>
      <c r="F1357" s="3" t="s">
        <v>3220</v>
      </c>
      <c r="G1357" s="9">
        <v>232</v>
      </c>
      <c r="H1357" s="66">
        <v>6844</v>
      </c>
      <c r="I1357" s="9">
        <v>247.9984</v>
      </c>
      <c r="J1357" s="10">
        <v>1.0689586206896551</v>
      </c>
      <c r="K1357" s="66">
        <v>844.9601183706568</v>
      </c>
      <c r="L1357" s="69">
        <v>7688.9601183706563</v>
      </c>
      <c r="M1357" s="64">
        <v>0</v>
      </c>
      <c r="N1357" s="67">
        <v>0</v>
      </c>
      <c r="O1357" s="64">
        <f t="shared" si="42"/>
        <v>7688.9601183706563</v>
      </c>
      <c r="P1357" s="64">
        <f t="shared" si="43"/>
        <v>33.142069475735589</v>
      </c>
    </row>
    <row r="1358" spans="1:16" ht="15">
      <c r="A1358" s="3" t="s">
        <v>1437</v>
      </c>
      <c r="B1358" s="3" t="s">
        <v>1438</v>
      </c>
      <c r="C1358" s="61" t="s">
        <v>3308</v>
      </c>
      <c r="D1358" s="3" t="s">
        <v>3248</v>
      </c>
      <c r="E1358" s="3">
        <v>1</v>
      </c>
      <c r="F1358" s="3" t="s">
        <v>1906</v>
      </c>
      <c r="G1358" s="9">
        <v>2149.4809169999999</v>
      </c>
      <c r="H1358" s="66">
        <v>63409.687051499997</v>
      </c>
      <c r="I1358" s="9">
        <v>2586.99959904558</v>
      </c>
      <c r="J1358" s="10">
        <v>1.2035462043813903</v>
      </c>
      <c r="K1358" s="66">
        <v>23107.675603223266</v>
      </c>
      <c r="L1358" s="69">
        <v>86517.362654723256</v>
      </c>
      <c r="M1358" s="64">
        <v>1608127.3217846218</v>
      </c>
      <c r="N1358" s="67">
        <v>32233.789180747004</v>
      </c>
      <c r="O1358" s="64">
        <f t="shared" si="42"/>
        <v>118751.15183547026</v>
      </c>
      <c r="P1358" s="64">
        <f t="shared" si="43"/>
        <v>55.246432241515109</v>
      </c>
    </row>
    <row r="1359" spans="1:16" ht="15">
      <c r="A1359" s="3" t="str">
        <f>"083295"</f>
        <v>083295</v>
      </c>
      <c r="B1359" s="3" t="s">
        <v>3111</v>
      </c>
      <c r="C1359" s="61" t="s">
        <v>3308</v>
      </c>
      <c r="D1359" s="3" t="s">
        <v>3249</v>
      </c>
      <c r="E1359" s="3">
        <v>1</v>
      </c>
      <c r="F1359" s="3" t="s">
        <v>3220</v>
      </c>
      <c r="G1359" s="9">
        <v>143</v>
      </c>
      <c r="H1359" s="66">
        <v>4218.5</v>
      </c>
      <c r="I1359" s="9">
        <v>143</v>
      </c>
      <c r="J1359" s="10">
        <v>1</v>
      </c>
      <c r="K1359" s="66">
        <v>0</v>
      </c>
      <c r="L1359" s="69">
        <v>4218.5</v>
      </c>
      <c r="M1359" s="64">
        <v>0</v>
      </c>
      <c r="N1359" s="67">
        <v>0</v>
      </c>
      <c r="O1359" s="64">
        <f t="shared" si="42"/>
        <v>4218.5</v>
      </c>
      <c r="P1359" s="64">
        <f t="shared" si="43"/>
        <v>29.5</v>
      </c>
    </row>
    <row r="1360" spans="1:16" ht="15">
      <c r="A1360" s="3" t="s">
        <v>1439</v>
      </c>
      <c r="B1360" s="3" t="s">
        <v>1440</v>
      </c>
      <c r="C1360" s="61" t="s">
        <v>3308</v>
      </c>
      <c r="D1360" s="3" t="s">
        <v>3248</v>
      </c>
      <c r="E1360" s="3">
        <v>1</v>
      </c>
      <c r="F1360" s="3" t="s">
        <v>3224</v>
      </c>
      <c r="G1360" s="9">
        <v>1028.1649379999999</v>
      </c>
      <c r="H1360" s="66">
        <v>30330.865670999996</v>
      </c>
      <c r="I1360" s="9">
        <v>1224.5439956667201</v>
      </c>
      <c r="J1360" s="10">
        <v>1.1909995667122431</v>
      </c>
      <c r="K1360" s="66">
        <v>10371.816669891359</v>
      </c>
      <c r="L1360" s="69">
        <v>40702.682340891355</v>
      </c>
      <c r="M1360" s="64">
        <v>607972.00361039466</v>
      </c>
      <c r="N1360" s="67">
        <v>12186.374254512228</v>
      </c>
      <c r="O1360" s="64">
        <f t="shared" si="42"/>
        <v>52889.056595403585</v>
      </c>
      <c r="P1360" s="64">
        <f t="shared" si="43"/>
        <v>51.44024527648655</v>
      </c>
    </row>
    <row r="1361" spans="1:16" ht="15">
      <c r="A1361" s="3" t="s">
        <v>952</v>
      </c>
      <c r="B1361" s="3" t="s">
        <v>953</v>
      </c>
      <c r="C1361" s="61" t="s">
        <v>3308</v>
      </c>
      <c r="D1361" s="3" t="s">
        <v>3248</v>
      </c>
      <c r="E1361" s="3">
        <v>1</v>
      </c>
      <c r="F1361" s="3" t="s">
        <v>3223</v>
      </c>
      <c r="G1361" s="9">
        <v>484.52395200000001</v>
      </c>
      <c r="H1361" s="66">
        <v>14293.456584</v>
      </c>
      <c r="I1361" s="9">
        <v>697.76018307202298</v>
      </c>
      <c r="J1361" s="10">
        <v>1.4400943032678455</v>
      </c>
      <c r="K1361" s="66">
        <v>11262.133153785957</v>
      </c>
      <c r="L1361" s="69">
        <v>25555.589737785958</v>
      </c>
      <c r="M1361" s="64">
        <v>167790.86077113193</v>
      </c>
      <c r="N1361" s="67">
        <v>3363.2506327612227</v>
      </c>
      <c r="O1361" s="64">
        <f t="shared" si="42"/>
        <v>28918.840370547179</v>
      </c>
      <c r="P1361" s="64">
        <f t="shared" si="43"/>
        <v>59.68505839840747</v>
      </c>
    </row>
    <row r="1362" spans="1:16" ht="15">
      <c r="A1362" s="3" t="s">
        <v>3264</v>
      </c>
      <c r="B1362" s="3" t="s">
        <v>3259</v>
      </c>
      <c r="C1362" s="61" t="s">
        <v>3344</v>
      </c>
      <c r="D1362" s="3" t="s">
        <v>3248</v>
      </c>
      <c r="E1362" s="3">
        <v>1</v>
      </c>
      <c r="F1362" s="3" t="s">
        <v>3260</v>
      </c>
      <c r="G1362" s="9">
        <v>106.02</v>
      </c>
      <c r="H1362" s="66">
        <v>3127.5899999999997</v>
      </c>
      <c r="I1362" s="9">
        <v>123.91</v>
      </c>
      <c r="J1362" s="10">
        <v>1.1687417468402188</v>
      </c>
      <c r="K1362" s="66">
        <v>944.86551890508099</v>
      </c>
      <c r="L1362" s="69">
        <v>4072.4555189050807</v>
      </c>
      <c r="M1362" s="64">
        <v>0</v>
      </c>
      <c r="N1362" s="67">
        <v>0</v>
      </c>
      <c r="O1362" s="64">
        <f t="shared" si="42"/>
        <v>4072.4555189050807</v>
      </c>
      <c r="P1362" s="64">
        <f t="shared" si="43"/>
        <v>38.412144113422755</v>
      </c>
    </row>
    <row r="1363" spans="1:16" ht="15">
      <c r="A1363" s="3" t="s">
        <v>627</v>
      </c>
      <c r="B1363" s="3" t="s">
        <v>628</v>
      </c>
      <c r="C1363" s="61" t="s">
        <v>3344</v>
      </c>
      <c r="D1363" s="3" t="s">
        <v>3248</v>
      </c>
      <c r="E1363" s="3">
        <v>1</v>
      </c>
      <c r="F1363" s="3" t="s">
        <v>3223</v>
      </c>
      <c r="G1363" s="9">
        <v>1910.6149150000001</v>
      </c>
      <c r="H1363" s="66">
        <v>56363.139992500001</v>
      </c>
      <c r="I1363" s="9">
        <v>2206.8145965580402</v>
      </c>
      <c r="J1363" s="10">
        <v>1.1550284566673343</v>
      </c>
      <c r="K1363" s="66">
        <v>15643.871761590681</v>
      </c>
      <c r="L1363" s="69">
        <v>72007.011754090679</v>
      </c>
      <c r="M1363" s="64">
        <v>1642910.356358561</v>
      </c>
      <c r="N1363" s="67">
        <v>32930.990819158789</v>
      </c>
      <c r="O1363" s="64">
        <f t="shared" si="42"/>
        <v>104938.00257324947</v>
      </c>
      <c r="P1363" s="64">
        <f t="shared" si="43"/>
        <v>54.923680198136346</v>
      </c>
    </row>
    <row r="1364" spans="1:16" ht="15">
      <c r="A1364" s="3" t="s">
        <v>1441</v>
      </c>
      <c r="B1364" s="3" t="s">
        <v>1442</v>
      </c>
      <c r="C1364" s="61" t="s">
        <v>3344</v>
      </c>
      <c r="D1364" s="3" t="s">
        <v>3248</v>
      </c>
      <c r="E1364" s="3">
        <v>1</v>
      </c>
      <c r="F1364" s="3" t="s">
        <v>3223</v>
      </c>
      <c r="G1364" s="9">
        <v>964.39742699999999</v>
      </c>
      <c r="H1364" s="66">
        <v>28449.724096499998</v>
      </c>
      <c r="I1364" s="9">
        <v>1186.6805551752</v>
      </c>
      <c r="J1364" s="10">
        <v>1.2304891344086923</v>
      </c>
      <c r="K1364" s="66">
        <v>11739.947638183619</v>
      </c>
      <c r="L1364" s="69">
        <v>40189.671734683616</v>
      </c>
      <c r="M1364" s="64">
        <v>1200968.7604174551</v>
      </c>
      <c r="N1364" s="67">
        <v>24072.580144337611</v>
      </c>
      <c r="O1364" s="64">
        <f t="shared" si="42"/>
        <v>64262.251879021227</v>
      </c>
      <c r="P1364" s="64">
        <f t="shared" si="43"/>
        <v>66.634615646917553</v>
      </c>
    </row>
    <row r="1365" spans="1:16" ht="15">
      <c r="A1365" s="3" t="s">
        <v>1443</v>
      </c>
      <c r="B1365" s="3" t="s">
        <v>1444</v>
      </c>
      <c r="C1365" s="61" t="s">
        <v>3344</v>
      </c>
      <c r="D1365" s="3" t="s">
        <v>3248</v>
      </c>
      <c r="E1365" s="3">
        <v>1</v>
      </c>
      <c r="F1365" s="3" t="s">
        <v>3224</v>
      </c>
      <c r="G1365" s="9">
        <v>1375.607894</v>
      </c>
      <c r="H1365" s="66">
        <v>40580.432872999998</v>
      </c>
      <c r="I1365" s="9">
        <v>1682.4912328942901</v>
      </c>
      <c r="J1365" s="10">
        <v>1.2230892540184057</v>
      </c>
      <c r="K1365" s="66">
        <v>16208.132210602416</v>
      </c>
      <c r="L1365" s="69">
        <v>56788.565083602414</v>
      </c>
      <c r="M1365" s="64">
        <v>1669221.4233915419</v>
      </c>
      <c r="N1365" s="67">
        <v>33458.377784340388</v>
      </c>
      <c r="O1365" s="64">
        <f t="shared" si="42"/>
        <v>90246.942867942795</v>
      </c>
      <c r="P1365" s="64">
        <f t="shared" si="43"/>
        <v>65.605135926868115</v>
      </c>
    </row>
    <row r="1366" spans="1:16" ht="15">
      <c r="A1366" s="3" t="s">
        <v>1669</v>
      </c>
      <c r="B1366" s="3" t="s">
        <v>1670</v>
      </c>
      <c r="C1366" s="61" t="s">
        <v>3344</v>
      </c>
      <c r="D1366" s="3" t="s">
        <v>3248</v>
      </c>
      <c r="E1366" s="3">
        <v>1</v>
      </c>
      <c r="F1366" s="3" t="s">
        <v>3223</v>
      </c>
      <c r="G1366" s="9">
        <v>774.61295099999995</v>
      </c>
      <c r="H1366" s="66">
        <v>22851.082054499999</v>
      </c>
      <c r="I1366" s="9">
        <v>873.31506458889703</v>
      </c>
      <c r="J1366" s="10">
        <v>1.1274212023714243</v>
      </c>
      <c r="K1366" s="66">
        <v>5212.9806469089708</v>
      </c>
      <c r="L1366" s="69">
        <v>28064.06270140897</v>
      </c>
      <c r="M1366" s="64">
        <v>861750.11777280073</v>
      </c>
      <c r="N1366" s="67">
        <v>17273.179335045603</v>
      </c>
      <c r="O1366" s="64">
        <f t="shared" si="42"/>
        <v>45337.242036454569</v>
      </c>
      <c r="P1366" s="64">
        <f t="shared" si="43"/>
        <v>58.528897532536313</v>
      </c>
    </row>
    <row r="1367" spans="1:16" ht="15">
      <c r="A1367" s="3" t="s">
        <v>1445</v>
      </c>
      <c r="B1367" s="3" t="s">
        <v>1446</v>
      </c>
      <c r="C1367" s="61" t="s">
        <v>3344</v>
      </c>
      <c r="D1367" s="3" t="s">
        <v>3248</v>
      </c>
      <c r="E1367" s="3">
        <v>1</v>
      </c>
      <c r="F1367" s="3" t="s">
        <v>3224</v>
      </c>
      <c r="G1367" s="9">
        <v>808.32668000000001</v>
      </c>
      <c r="H1367" s="66">
        <v>23845.637060000001</v>
      </c>
      <c r="I1367" s="9">
        <v>1002.3464724604401</v>
      </c>
      <c r="J1367" s="10">
        <v>1.2400264611585505</v>
      </c>
      <c r="K1367" s="66">
        <v>10247.211396366116</v>
      </c>
      <c r="L1367" s="69">
        <v>34092.848456366119</v>
      </c>
      <c r="M1367" s="64">
        <v>735487.64254734677</v>
      </c>
      <c r="N1367" s="67">
        <v>14742.336190523953</v>
      </c>
      <c r="O1367" s="64">
        <f t="shared" si="42"/>
        <v>48835.184646890069</v>
      </c>
      <c r="P1367" s="64">
        <f t="shared" si="43"/>
        <v>60.415158691644407</v>
      </c>
    </row>
    <row r="1368" spans="1:16" ht="15">
      <c r="A1368" s="3" t="s">
        <v>1447</v>
      </c>
      <c r="B1368" s="3" t="s">
        <v>1448</v>
      </c>
      <c r="C1368" s="61" t="s">
        <v>3357</v>
      </c>
      <c r="D1368" s="3" t="s">
        <v>3248</v>
      </c>
      <c r="E1368" s="3">
        <v>1</v>
      </c>
      <c r="F1368" s="3" t="s">
        <v>3224</v>
      </c>
      <c r="G1368" s="9">
        <v>835.32959800000003</v>
      </c>
      <c r="H1368" s="66">
        <v>24642.223141000002</v>
      </c>
      <c r="I1368" s="9">
        <v>1014.93745155366</v>
      </c>
      <c r="J1368" s="10">
        <v>1.2150143535961</v>
      </c>
      <c r="K1368" s="66">
        <v>9486.0406790054076</v>
      </c>
      <c r="L1368" s="69">
        <v>34128.263820005406</v>
      </c>
      <c r="M1368" s="64">
        <v>585572.99079843285</v>
      </c>
      <c r="N1368" s="67">
        <v>11737.401684332661</v>
      </c>
      <c r="O1368" s="64">
        <f t="shared" si="42"/>
        <v>45865.665504338067</v>
      </c>
      <c r="P1368" s="64">
        <f t="shared" si="43"/>
        <v>54.907267280068368</v>
      </c>
    </row>
    <row r="1369" spans="1:16" ht="15">
      <c r="A1369" s="3" t="s">
        <v>1449</v>
      </c>
      <c r="B1369" s="3" t="s">
        <v>1450</v>
      </c>
      <c r="C1369" s="61" t="s">
        <v>3357</v>
      </c>
      <c r="D1369" s="3" t="s">
        <v>3248</v>
      </c>
      <c r="E1369" s="3">
        <v>1</v>
      </c>
      <c r="F1369" s="3" t="s">
        <v>3224</v>
      </c>
      <c r="G1369" s="9">
        <v>466.66078499999998</v>
      </c>
      <c r="H1369" s="66">
        <v>13766.493157499999</v>
      </c>
      <c r="I1369" s="9">
        <v>609.77966533841902</v>
      </c>
      <c r="J1369" s="10">
        <v>1.306687180364682</v>
      </c>
      <c r="K1369" s="66">
        <v>7558.8650159907502</v>
      </c>
      <c r="L1369" s="69">
        <v>21325.358173490749</v>
      </c>
      <c r="M1369" s="64">
        <v>446581.68268918019</v>
      </c>
      <c r="N1369" s="67">
        <v>8951.4179734297359</v>
      </c>
      <c r="O1369" s="64">
        <f t="shared" si="42"/>
        <v>30276.776146920485</v>
      </c>
      <c r="P1369" s="64">
        <f t="shared" si="43"/>
        <v>64.879623744087439</v>
      </c>
    </row>
    <row r="1370" spans="1:16" ht="15">
      <c r="A1370" s="3" t="s">
        <v>1451</v>
      </c>
      <c r="B1370" s="3" t="s">
        <v>1452</v>
      </c>
      <c r="C1370" s="61" t="s">
        <v>3357</v>
      </c>
      <c r="D1370" s="3" t="s">
        <v>3248</v>
      </c>
      <c r="E1370" s="3">
        <v>1</v>
      </c>
      <c r="F1370" s="3" t="s">
        <v>3224</v>
      </c>
      <c r="G1370" s="9">
        <v>373.80719900000003</v>
      </c>
      <c r="H1370" s="66">
        <v>11027.312370500002</v>
      </c>
      <c r="I1370" s="9">
        <v>410.13450102095601</v>
      </c>
      <c r="J1370" s="10">
        <v>1.097181921905565</v>
      </c>
      <c r="K1370" s="66">
        <v>1918.6369521773154</v>
      </c>
      <c r="L1370" s="69">
        <v>12945.949322677317</v>
      </c>
      <c r="M1370" s="64">
        <v>304799.38547576172</v>
      </c>
      <c r="N1370" s="67">
        <v>6109.4908349320331</v>
      </c>
      <c r="O1370" s="64">
        <f t="shared" si="42"/>
        <v>19055.440157609351</v>
      </c>
      <c r="P1370" s="64">
        <f t="shared" si="43"/>
        <v>50.976653763185951</v>
      </c>
    </row>
    <row r="1371" spans="1:16" ht="15">
      <c r="A1371" s="3" t="s">
        <v>1453</v>
      </c>
      <c r="B1371" s="3" t="s">
        <v>1454</v>
      </c>
      <c r="C1371" s="61" t="s">
        <v>3357</v>
      </c>
      <c r="D1371" s="3" t="s">
        <v>3248</v>
      </c>
      <c r="E1371" s="3">
        <v>1</v>
      </c>
      <c r="F1371" s="3" t="s">
        <v>1904</v>
      </c>
      <c r="G1371" s="9">
        <v>588.45456100000001</v>
      </c>
      <c r="H1371" s="66">
        <v>17359.4095495</v>
      </c>
      <c r="I1371" s="9">
        <v>669.25437486105398</v>
      </c>
      <c r="J1371" s="10">
        <v>1.1373085013118862</v>
      </c>
      <c r="K1371" s="66">
        <v>4267.4655143241316</v>
      </c>
      <c r="L1371" s="69">
        <v>21626.875063824133</v>
      </c>
      <c r="M1371" s="64">
        <v>257981.43401496293</v>
      </c>
      <c r="N1371" s="67">
        <v>5171.0576917235176</v>
      </c>
      <c r="O1371" s="64">
        <f t="shared" si="42"/>
        <v>26797.932755547648</v>
      </c>
      <c r="P1371" s="64">
        <f t="shared" si="43"/>
        <v>45.539510663335051</v>
      </c>
    </row>
    <row r="1372" spans="1:16" ht="15">
      <c r="A1372" s="3" t="s">
        <v>1455</v>
      </c>
      <c r="B1372" s="3" t="s">
        <v>1456</v>
      </c>
      <c r="C1372" s="61" t="s">
        <v>3357</v>
      </c>
      <c r="D1372" s="3" t="s">
        <v>3248</v>
      </c>
      <c r="E1372" s="3">
        <v>1</v>
      </c>
      <c r="F1372" s="3" t="s">
        <v>1905</v>
      </c>
      <c r="G1372" s="9">
        <v>619.93390699999998</v>
      </c>
      <c r="H1372" s="66">
        <v>18288.050256499999</v>
      </c>
      <c r="I1372" s="9">
        <v>773.69675728798802</v>
      </c>
      <c r="J1372" s="10">
        <v>1.2480310377473642</v>
      </c>
      <c r="K1372" s="66">
        <v>8121.0293642081679</v>
      </c>
      <c r="L1372" s="69">
        <v>26409.079620708166</v>
      </c>
      <c r="M1372" s="64">
        <v>277348.14071693027</v>
      </c>
      <c r="N1372" s="67">
        <v>5559.249803442508</v>
      </c>
      <c r="O1372" s="64">
        <f t="shared" si="42"/>
        <v>31968.329424150674</v>
      </c>
      <c r="P1372" s="64">
        <f t="shared" si="43"/>
        <v>51.5673188112143</v>
      </c>
    </row>
    <row r="1373" spans="1:16" ht="15">
      <c r="A1373" s="3" t="s">
        <v>1457</v>
      </c>
      <c r="B1373" s="3" t="s">
        <v>1695</v>
      </c>
      <c r="C1373" s="61" t="s">
        <v>3357</v>
      </c>
      <c r="D1373" s="3" t="s">
        <v>3248</v>
      </c>
      <c r="E1373" s="3">
        <v>1</v>
      </c>
      <c r="F1373" s="3" t="s">
        <v>3224</v>
      </c>
      <c r="G1373" s="9">
        <v>478.87582700000002</v>
      </c>
      <c r="H1373" s="66">
        <v>14126.836896500001</v>
      </c>
      <c r="I1373" s="9">
        <v>529.86503730606</v>
      </c>
      <c r="J1373" s="10">
        <v>1.1064768932386724</v>
      </c>
      <c r="K1373" s="66">
        <v>2693.0098744771199</v>
      </c>
      <c r="L1373" s="69">
        <v>16819.846770977121</v>
      </c>
      <c r="M1373" s="64">
        <v>360335.89377067739</v>
      </c>
      <c r="N1373" s="67">
        <v>7222.6813615543251</v>
      </c>
      <c r="O1373" s="64">
        <f t="shared" si="42"/>
        <v>24042.528132531446</v>
      </c>
      <c r="P1373" s="64">
        <f t="shared" si="43"/>
        <v>50.206184520003859</v>
      </c>
    </row>
    <row r="1374" spans="1:16" ht="15">
      <c r="A1374" s="3" t="s">
        <v>1458</v>
      </c>
      <c r="B1374" s="3" t="s">
        <v>1459</v>
      </c>
      <c r="C1374" s="61" t="s">
        <v>3357</v>
      </c>
      <c r="D1374" s="3" t="s">
        <v>3248</v>
      </c>
      <c r="E1374" s="3">
        <v>1</v>
      </c>
      <c r="F1374" s="3" t="s">
        <v>1904</v>
      </c>
      <c r="G1374" s="9">
        <v>1489.187015</v>
      </c>
      <c r="H1374" s="66">
        <v>43931.016942499999</v>
      </c>
      <c r="I1374" s="9">
        <v>1778.6666568324499</v>
      </c>
      <c r="J1374" s="10">
        <v>1.1943877020929101</v>
      </c>
      <c r="K1374" s="66">
        <v>15288.950921882326</v>
      </c>
      <c r="L1374" s="69">
        <v>59219.967864382328</v>
      </c>
      <c r="M1374" s="64">
        <v>932747.44814547116</v>
      </c>
      <c r="N1374" s="67">
        <v>18696.271243644496</v>
      </c>
      <c r="O1374" s="64">
        <f t="shared" si="42"/>
        <v>77916.239108026828</v>
      </c>
      <c r="P1374" s="64">
        <f t="shared" si="43"/>
        <v>52.321325879964668</v>
      </c>
    </row>
    <row r="1375" spans="1:16" ht="15">
      <c r="A1375" s="3" t="s">
        <v>1460</v>
      </c>
      <c r="B1375" s="3" t="s">
        <v>1461</v>
      </c>
      <c r="C1375" s="61" t="s">
        <v>3357</v>
      </c>
      <c r="D1375" s="3" t="s">
        <v>3248</v>
      </c>
      <c r="E1375" s="3">
        <v>1</v>
      </c>
      <c r="F1375" s="3" t="s">
        <v>3224</v>
      </c>
      <c r="G1375" s="9">
        <v>445.95943599999998</v>
      </c>
      <c r="H1375" s="66">
        <v>13155.803361999999</v>
      </c>
      <c r="I1375" s="9">
        <v>517.22466978472301</v>
      </c>
      <c r="J1375" s="10">
        <v>1.1598020538009717</v>
      </c>
      <c r="K1375" s="66">
        <v>3763.8939127945346</v>
      </c>
      <c r="L1375" s="69">
        <v>16919.697274794533</v>
      </c>
      <c r="M1375" s="64">
        <v>293840.21242566529</v>
      </c>
      <c r="N1375" s="67">
        <v>5889.8218641318199</v>
      </c>
      <c r="O1375" s="64">
        <f t="shared" si="42"/>
        <v>22809.519138926353</v>
      </c>
      <c r="P1375" s="64">
        <f t="shared" si="43"/>
        <v>51.147071454557931</v>
      </c>
    </row>
    <row r="1376" spans="1:16" ht="15">
      <c r="A1376" s="3" t="s">
        <v>1462</v>
      </c>
      <c r="B1376" s="3" t="s">
        <v>1463</v>
      </c>
      <c r="C1376" s="61" t="s">
        <v>3357</v>
      </c>
      <c r="D1376" s="3" t="s">
        <v>3248</v>
      </c>
      <c r="E1376" s="3">
        <v>1</v>
      </c>
      <c r="F1376" s="3" t="s">
        <v>3224</v>
      </c>
      <c r="G1376" s="9">
        <v>513.77270599999997</v>
      </c>
      <c r="H1376" s="66">
        <v>15156.294827</v>
      </c>
      <c r="I1376" s="9">
        <v>595.94961612950794</v>
      </c>
      <c r="J1376" s="10">
        <v>1.1599479870569613</v>
      </c>
      <c r="K1376" s="66">
        <v>4340.1972516229043</v>
      </c>
      <c r="L1376" s="69">
        <v>19496.492078622905</v>
      </c>
      <c r="M1376" s="64">
        <v>539189.34932489647</v>
      </c>
      <c r="N1376" s="67">
        <v>10807.673981532293</v>
      </c>
      <c r="O1376" s="64">
        <f t="shared" si="42"/>
        <v>30304.166060155199</v>
      </c>
      <c r="P1376" s="64">
        <f t="shared" si="43"/>
        <v>58.983604434905892</v>
      </c>
    </row>
    <row r="1377" spans="1:16" ht="15">
      <c r="A1377" s="3" t="str">
        <f>"058826"</f>
        <v>058826</v>
      </c>
      <c r="B1377" s="3" t="s">
        <v>2757</v>
      </c>
      <c r="C1377" s="61" t="s">
        <v>3357</v>
      </c>
      <c r="D1377" s="3" t="s">
        <v>3249</v>
      </c>
      <c r="E1377" s="3">
        <v>1</v>
      </c>
      <c r="F1377" s="3" t="s">
        <v>3220</v>
      </c>
      <c r="G1377" s="9">
        <v>95</v>
      </c>
      <c r="H1377" s="66">
        <v>2802.5</v>
      </c>
      <c r="I1377" s="9">
        <v>104.01140000000001</v>
      </c>
      <c r="J1377" s="10">
        <v>1.0948568421052634</v>
      </c>
      <c r="K1377" s="66">
        <v>475.93969463729775</v>
      </c>
      <c r="L1377" s="69">
        <v>3278.4396946372976</v>
      </c>
      <c r="M1377" s="64">
        <v>0</v>
      </c>
      <c r="N1377" s="67">
        <v>0</v>
      </c>
      <c r="O1377" s="64">
        <f t="shared" si="42"/>
        <v>3278.4396946372976</v>
      </c>
      <c r="P1377" s="64">
        <f t="shared" si="43"/>
        <v>34.509891522497867</v>
      </c>
    </row>
    <row r="1378" spans="1:16" ht="15">
      <c r="A1378" s="3" t="str">
        <f>"059196"</f>
        <v>059196</v>
      </c>
      <c r="B1378" s="3" t="s">
        <v>2689</v>
      </c>
      <c r="C1378" s="61" t="s">
        <v>3357</v>
      </c>
      <c r="D1378" s="3" t="s">
        <v>3249</v>
      </c>
      <c r="E1378" s="3">
        <v>1</v>
      </c>
      <c r="F1378" s="3" t="s">
        <v>3220</v>
      </c>
      <c r="G1378" s="9">
        <v>65</v>
      </c>
      <c r="H1378" s="66">
        <v>1917.5</v>
      </c>
      <c r="I1378" s="9">
        <v>70.861800000000002</v>
      </c>
      <c r="J1378" s="10">
        <v>1.0901815384615385</v>
      </c>
      <c r="K1378" s="66">
        <v>309.59266063263306</v>
      </c>
      <c r="L1378" s="69">
        <v>2227.0926606326329</v>
      </c>
      <c r="M1378" s="64">
        <v>0</v>
      </c>
      <c r="N1378" s="67">
        <v>0</v>
      </c>
      <c r="O1378" s="64">
        <f t="shared" si="42"/>
        <v>2227.0926606326329</v>
      </c>
      <c r="P1378" s="64">
        <f t="shared" si="43"/>
        <v>34.262964009732812</v>
      </c>
    </row>
    <row r="1379" spans="1:16" ht="15">
      <c r="A1379" s="3" t="str">
        <f>"059394"</f>
        <v>059394</v>
      </c>
      <c r="B1379" s="3" t="s">
        <v>2736</v>
      </c>
      <c r="C1379" s="61" t="s">
        <v>3357</v>
      </c>
      <c r="D1379" s="3" t="s">
        <v>3249</v>
      </c>
      <c r="E1379" s="3">
        <v>1</v>
      </c>
      <c r="F1379" s="3" t="s">
        <v>3220</v>
      </c>
      <c r="G1379" s="9">
        <v>270</v>
      </c>
      <c r="H1379" s="66">
        <v>7965</v>
      </c>
      <c r="I1379" s="9">
        <v>282.69839999999999</v>
      </c>
      <c r="J1379" s="10">
        <v>1.047031111111111</v>
      </c>
      <c r="K1379" s="66">
        <v>670.66966491136236</v>
      </c>
      <c r="L1379" s="69">
        <v>8635.6696649113619</v>
      </c>
      <c r="M1379" s="64">
        <v>0</v>
      </c>
      <c r="N1379" s="67">
        <v>0</v>
      </c>
      <c r="O1379" s="64">
        <f t="shared" si="42"/>
        <v>8635.6696649113619</v>
      </c>
      <c r="P1379" s="64">
        <f t="shared" si="43"/>
        <v>31.983961721893934</v>
      </c>
    </row>
    <row r="1380" spans="1:16" ht="15">
      <c r="A1380" s="3" t="s">
        <v>1464</v>
      </c>
      <c r="B1380" s="3" t="s">
        <v>1465</v>
      </c>
      <c r="C1380" s="61" t="s">
        <v>3307</v>
      </c>
      <c r="D1380" s="3" t="s">
        <v>3248</v>
      </c>
      <c r="E1380" s="3">
        <v>1</v>
      </c>
      <c r="F1380" s="3" t="s">
        <v>3223</v>
      </c>
      <c r="G1380" s="9">
        <v>1654.4531649999999</v>
      </c>
      <c r="H1380" s="66">
        <v>48806.368367499999</v>
      </c>
      <c r="I1380" s="9">
        <v>2007.44013061838</v>
      </c>
      <c r="J1380" s="10">
        <v>1.2133556712790841</v>
      </c>
      <c r="K1380" s="66">
        <v>18643.108576620496</v>
      </c>
      <c r="L1380" s="69">
        <v>67449.476944120499</v>
      </c>
      <c r="M1380" s="64">
        <v>1044703.8265533549</v>
      </c>
      <c r="N1380" s="67">
        <v>20940.35866766439</v>
      </c>
      <c r="O1380" s="64">
        <f t="shared" si="42"/>
        <v>88389.835611784889</v>
      </c>
      <c r="P1380" s="64">
        <f t="shared" si="43"/>
        <v>53.425408153989594</v>
      </c>
    </row>
    <row r="1381" spans="1:16" ht="15">
      <c r="A1381" s="3" t="s">
        <v>1466</v>
      </c>
      <c r="B1381" s="3" t="s">
        <v>1065</v>
      </c>
      <c r="C1381" s="61" t="s">
        <v>3307</v>
      </c>
      <c r="D1381" s="3" t="s">
        <v>3248</v>
      </c>
      <c r="E1381" s="3">
        <v>1</v>
      </c>
      <c r="F1381" s="3" t="s">
        <v>3224</v>
      </c>
      <c r="G1381" s="9">
        <v>1029.2281410000001</v>
      </c>
      <c r="H1381" s="66">
        <v>30362.230159500003</v>
      </c>
      <c r="I1381" s="9">
        <v>1186.8707155525001</v>
      </c>
      <c r="J1381" s="10">
        <v>1.1531658223018797</v>
      </c>
      <c r="K1381" s="66">
        <v>8325.9381221956883</v>
      </c>
      <c r="L1381" s="69">
        <v>38688.168281695689</v>
      </c>
      <c r="M1381" s="64">
        <v>839327.44404801016</v>
      </c>
      <c r="N1381" s="67">
        <v>16823.732498391226</v>
      </c>
      <c r="O1381" s="64">
        <f t="shared" si="42"/>
        <v>55511.900780086915</v>
      </c>
      <c r="P1381" s="64">
        <f t="shared" si="43"/>
        <v>53.935467335892554</v>
      </c>
    </row>
    <row r="1382" spans="1:16" ht="15">
      <c r="A1382" s="3" t="str">
        <f>"070789"</f>
        <v>070789</v>
      </c>
      <c r="B1382" s="3" t="s">
        <v>3114</v>
      </c>
      <c r="C1382" s="61" t="s">
        <v>3307</v>
      </c>
      <c r="D1382" s="3" t="s">
        <v>3249</v>
      </c>
      <c r="E1382" s="3">
        <v>1</v>
      </c>
      <c r="F1382" s="3" t="s">
        <v>3220</v>
      </c>
      <c r="G1382" s="9">
        <v>84</v>
      </c>
      <c r="H1382" s="66">
        <v>2478</v>
      </c>
      <c r="I1382" s="9">
        <v>84</v>
      </c>
      <c r="J1382" s="10">
        <v>1</v>
      </c>
      <c r="K1382" s="66">
        <v>0</v>
      </c>
      <c r="L1382" s="69">
        <v>2478</v>
      </c>
      <c r="M1382" s="64">
        <v>0</v>
      </c>
      <c r="N1382" s="67">
        <v>0</v>
      </c>
      <c r="O1382" s="64">
        <f t="shared" si="42"/>
        <v>2478</v>
      </c>
      <c r="P1382" s="64">
        <f t="shared" si="43"/>
        <v>29.5</v>
      </c>
    </row>
    <row r="1383" spans="1:16" ht="15">
      <c r="A1383" s="3" t="s">
        <v>165</v>
      </c>
      <c r="B1383" s="3" t="s">
        <v>166</v>
      </c>
      <c r="C1383" s="61" t="s">
        <v>3307</v>
      </c>
      <c r="D1383" s="3" t="s">
        <v>1684</v>
      </c>
      <c r="E1383" s="3">
        <v>1</v>
      </c>
      <c r="F1383" s="3" t="s">
        <v>3266</v>
      </c>
      <c r="G1383" s="9">
        <v>395.65279600000002</v>
      </c>
      <c r="H1383" s="66">
        <v>11671.757482000001</v>
      </c>
      <c r="I1383" s="9">
        <v>521.75822455877096</v>
      </c>
      <c r="J1383" s="10">
        <v>1.3187275051097349</v>
      </c>
      <c r="K1383" s="66">
        <v>6660.2946446020524</v>
      </c>
      <c r="L1383" s="69">
        <v>18332.052126602051</v>
      </c>
      <c r="M1383" s="64">
        <v>0</v>
      </c>
      <c r="N1383" s="67">
        <v>0</v>
      </c>
      <c r="O1383" s="64">
        <f t="shared" si="42"/>
        <v>18332.052126602051</v>
      </c>
      <c r="P1383" s="64">
        <f t="shared" si="43"/>
        <v>46.333685271371245</v>
      </c>
    </row>
    <row r="1384" spans="1:16" ht="15">
      <c r="A1384" s="3" t="s">
        <v>443</v>
      </c>
      <c r="B1384" s="61" t="s">
        <v>444</v>
      </c>
      <c r="C1384" s="61" t="s">
        <v>3307</v>
      </c>
      <c r="D1384" s="3" t="s">
        <v>1684</v>
      </c>
      <c r="E1384" s="3">
        <v>1</v>
      </c>
      <c r="F1384" s="3" t="s">
        <v>3267</v>
      </c>
      <c r="G1384" s="9">
        <v>649.99051599999996</v>
      </c>
      <c r="H1384" s="66">
        <v>3834.9440444000002</v>
      </c>
      <c r="I1384" s="9">
        <v>907.240210401784</v>
      </c>
      <c r="J1384" s="10">
        <v>1.3957745352730409</v>
      </c>
      <c r="K1384" s="66">
        <v>0</v>
      </c>
      <c r="L1384" s="69">
        <v>3834.9440444000002</v>
      </c>
      <c r="M1384" s="64">
        <v>0</v>
      </c>
      <c r="N1384" s="67">
        <v>0</v>
      </c>
      <c r="O1384" s="64">
        <f t="shared" si="42"/>
        <v>3834.9440444000002</v>
      </c>
      <c r="P1384" s="64">
        <f t="shared" si="43"/>
        <v>5.9</v>
      </c>
    </row>
    <row r="1385" spans="1:16" ht="15">
      <c r="A1385" s="3" t="s">
        <v>124</v>
      </c>
      <c r="B1385" s="3" t="s">
        <v>1777</v>
      </c>
      <c r="C1385" s="61" t="s">
        <v>3307</v>
      </c>
      <c r="D1385" s="3" t="s">
        <v>1684</v>
      </c>
      <c r="E1385" s="3">
        <v>1</v>
      </c>
      <c r="F1385" s="3" t="s">
        <v>3266</v>
      </c>
      <c r="G1385" s="9">
        <v>42.811959000000002</v>
      </c>
      <c r="H1385" s="66">
        <v>1262.9527905</v>
      </c>
      <c r="I1385" s="9">
        <v>62.653444906723998</v>
      </c>
      <c r="J1385" s="10">
        <v>1.4634566221724168</v>
      </c>
      <c r="K1385" s="66">
        <v>1047.9338109057921</v>
      </c>
      <c r="L1385" s="69">
        <v>2310.8866014057921</v>
      </c>
      <c r="M1385" s="64">
        <v>0</v>
      </c>
      <c r="N1385" s="67">
        <v>0</v>
      </c>
      <c r="O1385" s="64">
        <f t="shared" si="42"/>
        <v>2310.8866014057921</v>
      </c>
      <c r="P1385" s="64">
        <f t="shared" si="43"/>
        <v>53.97759540519489</v>
      </c>
    </row>
    <row r="1386" spans="1:16" ht="15">
      <c r="A1386" s="3" t="s">
        <v>1467</v>
      </c>
      <c r="B1386" s="3" t="s">
        <v>1468</v>
      </c>
      <c r="C1386" s="61" t="s">
        <v>3307</v>
      </c>
      <c r="D1386" s="3" t="s">
        <v>3248</v>
      </c>
      <c r="E1386" s="3">
        <v>1</v>
      </c>
      <c r="F1386" s="3" t="s">
        <v>1906</v>
      </c>
      <c r="G1386" s="9">
        <v>2362.4687439999998</v>
      </c>
      <c r="H1386" s="66">
        <v>69692.827947999991</v>
      </c>
      <c r="I1386" s="9">
        <v>2801.1991831646401</v>
      </c>
      <c r="J1386" s="10">
        <v>1.1857084629284054</v>
      </c>
      <c r="K1386" s="66">
        <v>23171.674905575848</v>
      </c>
      <c r="L1386" s="69">
        <v>92864.502853575832</v>
      </c>
      <c r="M1386" s="64">
        <v>1295143.6443389514</v>
      </c>
      <c r="N1386" s="67">
        <v>25960.24992851742</v>
      </c>
      <c r="O1386" s="64">
        <f t="shared" si="42"/>
        <v>118824.75278209324</v>
      </c>
      <c r="P1386" s="64">
        <f t="shared" si="43"/>
        <v>50.296857083876517</v>
      </c>
    </row>
    <row r="1387" spans="1:16" ht="15">
      <c r="A1387" s="3" t="s">
        <v>1469</v>
      </c>
      <c r="B1387" s="3" t="s">
        <v>1470</v>
      </c>
      <c r="C1387" s="61" t="s">
        <v>3307</v>
      </c>
      <c r="D1387" s="3" t="s">
        <v>3248</v>
      </c>
      <c r="E1387" s="3">
        <v>1</v>
      </c>
      <c r="F1387" s="3" t="s">
        <v>3224</v>
      </c>
      <c r="G1387" s="9">
        <v>489.36316299999999</v>
      </c>
      <c r="H1387" s="66">
        <v>14436.213308499999</v>
      </c>
      <c r="I1387" s="9">
        <v>566.47995648523602</v>
      </c>
      <c r="J1387" s="10">
        <v>1.1575860205996666</v>
      </c>
      <c r="K1387" s="66">
        <v>4072.9457290510632</v>
      </c>
      <c r="L1387" s="69">
        <v>18509.15903755106</v>
      </c>
      <c r="M1387" s="64">
        <v>330895.96989748877</v>
      </c>
      <c r="N1387" s="67">
        <v>6632.5786459481424</v>
      </c>
      <c r="O1387" s="64">
        <f t="shared" si="42"/>
        <v>25141.737683499203</v>
      </c>
      <c r="P1387" s="64">
        <f t="shared" si="43"/>
        <v>51.376441024636755</v>
      </c>
    </row>
    <row r="1388" spans="1:16" ht="15">
      <c r="A1388" s="3" t="s">
        <v>1471</v>
      </c>
      <c r="B1388" s="3" t="s">
        <v>1015</v>
      </c>
      <c r="C1388" s="61" t="s">
        <v>3307</v>
      </c>
      <c r="D1388" s="3" t="s">
        <v>3248</v>
      </c>
      <c r="E1388" s="3">
        <v>1</v>
      </c>
      <c r="F1388" s="3" t="s">
        <v>1905</v>
      </c>
      <c r="G1388" s="9">
        <v>2968.8083160000001</v>
      </c>
      <c r="H1388" s="66">
        <v>87579.845322000008</v>
      </c>
      <c r="I1388" s="9">
        <v>3746.8142775546598</v>
      </c>
      <c r="J1388" s="10">
        <v>1.2620600182779398</v>
      </c>
      <c r="K1388" s="66">
        <v>41090.609646483514</v>
      </c>
      <c r="L1388" s="69">
        <v>128670.45496848352</v>
      </c>
      <c r="M1388" s="64">
        <v>1770041.5014273566</v>
      </c>
      <c r="N1388" s="67">
        <v>35479.245844082339</v>
      </c>
      <c r="O1388" s="64">
        <f t="shared" si="42"/>
        <v>164149.70081256586</v>
      </c>
      <c r="P1388" s="64">
        <f t="shared" si="43"/>
        <v>55.291444694459642</v>
      </c>
    </row>
    <row r="1389" spans="1:16" ht="15">
      <c r="A1389" s="3" t="str">
        <f>"067629"</f>
        <v>067629</v>
      </c>
      <c r="B1389" s="3" t="s">
        <v>2915</v>
      </c>
      <c r="C1389" s="61" t="s">
        <v>3307</v>
      </c>
      <c r="D1389" s="3" t="s">
        <v>3249</v>
      </c>
      <c r="E1389" s="3">
        <v>1</v>
      </c>
      <c r="F1389" s="3" t="s">
        <v>3220</v>
      </c>
      <c r="G1389" s="9">
        <v>469</v>
      </c>
      <c r="H1389" s="66">
        <v>13835.5</v>
      </c>
      <c r="I1389" s="9">
        <v>511.15859999999998</v>
      </c>
      <c r="J1389" s="10">
        <v>1.0898904051172706</v>
      </c>
      <c r="K1389" s="66">
        <v>2226.6186397602978</v>
      </c>
      <c r="L1389" s="69">
        <v>16062.118639760298</v>
      </c>
      <c r="M1389" s="64">
        <v>0</v>
      </c>
      <c r="N1389" s="67">
        <v>0</v>
      </c>
      <c r="O1389" s="64">
        <f t="shared" si="42"/>
        <v>16062.118639760298</v>
      </c>
      <c r="P1389" s="64">
        <f t="shared" si="43"/>
        <v>34.247587718039014</v>
      </c>
    </row>
    <row r="1390" spans="1:16" ht="15">
      <c r="A1390" s="3" t="s">
        <v>689</v>
      </c>
      <c r="B1390" s="3" t="s">
        <v>690</v>
      </c>
      <c r="C1390" s="61" t="s">
        <v>3307</v>
      </c>
      <c r="D1390" s="3" t="s">
        <v>3248</v>
      </c>
      <c r="E1390" s="3">
        <v>1</v>
      </c>
      <c r="F1390" s="3" t="s">
        <v>1909</v>
      </c>
      <c r="G1390" s="9">
        <v>3286.6747399999999</v>
      </c>
      <c r="H1390" s="66">
        <v>96956.904829999999</v>
      </c>
      <c r="I1390" s="9">
        <v>5026.6847711649898</v>
      </c>
      <c r="J1390" s="10">
        <v>1.5294135163387022</v>
      </c>
      <c r="K1390" s="66">
        <v>91899.132531959433</v>
      </c>
      <c r="L1390" s="69">
        <v>188856.03736195943</v>
      </c>
      <c r="M1390" s="64">
        <v>2009057.6838346901</v>
      </c>
      <c r="N1390" s="67">
        <v>40270.158311109517</v>
      </c>
      <c r="O1390" s="64">
        <f t="shared" si="42"/>
        <v>229126.19567306896</v>
      </c>
      <c r="P1390" s="64">
        <f t="shared" si="43"/>
        <v>69.713681394913138</v>
      </c>
    </row>
    <row r="1391" spans="1:16" ht="15">
      <c r="A1391" s="3" t="str">
        <f>"114751"</f>
        <v>114751</v>
      </c>
      <c r="B1391" s="3" t="s">
        <v>2663</v>
      </c>
      <c r="C1391" s="61" t="s">
        <v>3307</v>
      </c>
      <c r="D1391" s="3" t="s">
        <v>3249</v>
      </c>
      <c r="E1391" s="3">
        <v>1</v>
      </c>
      <c r="F1391" s="3" t="s">
        <v>3220</v>
      </c>
      <c r="G1391" s="9">
        <v>19</v>
      </c>
      <c r="H1391" s="66">
        <v>560.5</v>
      </c>
      <c r="I1391" s="9">
        <v>21.212199999999999</v>
      </c>
      <c r="J1391" s="10">
        <v>1.1164315789473684</v>
      </c>
      <c r="K1391" s="66">
        <v>116.83798216443932</v>
      </c>
      <c r="L1391" s="69">
        <v>677.33798216443938</v>
      </c>
      <c r="M1391" s="64">
        <v>0</v>
      </c>
      <c r="N1391" s="67">
        <v>0</v>
      </c>
      <c r="O1391" s="64">
        <f t="shared" si="42"/>
        <v>677.33798216443938</v>
      </c>
      <c r="P1391" s="64">
        <f t="shared" si="43"/>
        <v>35.649367482338917</v>
      </c>
    </row>
    <row r="1392" spans="1:16" ht="15">
      <c r="A1392" s="3" t="s">
        <v>1474</v>
      </c>
      <c r="B1392" s="3" t="s">
        <v>1475</v>
      </c>
      <c r="C1392" s="61" t="s">
        <v>3307</v>
      </c>
      <c r="D1392" s="3" t="s">
        <v>3248</v>
      </c>
      <c r="E1392" s="3">
        <v>1</v>
      </c>
      <c r="F1392" s="3" t="s">
        <v>1904</v>
      </c>
      <c r="G1392" s="9">
        <v>2022.3609369999999</v>
      </c>
      <c r="H1392" s="66">
        <v>59659.6476415</v>
      </c>
      <c r="I1392" s="9">
        <v>2337.34679152219</v>
      </c>
      <c r="J1392" s="10">
        <v>1.1557515519407948</v>
      </c>
      <c r="K1392" s="66">
        <v>16636.06891452596</v>
      </c>
      <c r="L1392" s="69">
        <v>76295.71655602596</v>
      </c>
      <c r="M1392" s="64">
        <v>1118183.4136764398</v>
      </c>
      <c r="N1392" s="67">
        <v>22413.205679420509</v>
      </c>
      <c r="O1392" s="64">
        <f t="shared" si="42"/>
        <v>98708.922235446473</v>
      </c>
      <c r="P1392" s="64">
        <f t="shared" si="43"/>
        <v>48.808756354774509</v>
      </c>
    </row>
    <row r="1393" spans="1:16" ht="15">
      <c r="A1393" s="3" t="s">
        <v>502</v>
      </c>
      <c r="B1393" s="3" t="s">
        <v>503</v>
      </c>
      <c r="C1393" s="61" t="s">
        <v>3307</v>
      </c>
      <c r="D1393" s="3" t="s">
        <v>456</v>
      </c>
      <c r="E1393" s="3">
        <v>1</v>
      </c>
      <c r="F1393" s="3" t="s">
        <v>1897</v>
      </c>
      <c r="G1393" s="9">
        <v>1319.7414349999999</v>
      </c>
      <c r="H1393" s="66">
        <v>38932.372332499996</v>
      </c>
      <c r="I1393" s="9">
        <v>1676.3024634624001</v>
      </c>
      <c r="J1393" s="10">
        <v>1.2701749138174177</v>
      </c>
      <c r="K1393" s="66">
        <v>18831.873738370883</v>
      </c>
      <c r="L1393" s="69">
        <v>57764.246070870882</v>
      </c>
      <c r="M1393" s="64">
        <v>0</v>
      </c>
      <c r="N1393" s="67">
        <v>0</v>
      </c>
      <c r="O1393" s="64">
        <f t="shared" si="42"/>
        <v>57764.246070870882</v>
      </c>
      <c r="P1393" s="64">
        <f t="shared" si="43"/>
        <v>43.769366134110115</v>
      </c>
    </row>
    <row r="1394" spans="1:16" ht="15">
      <c r="A1394" s="3" t="s">
        <v>1472</v>
      </c>
      <c r="B1394" s="3" t="s">
        <v>1473</v>
      </c>
      <c r="C1394" s="61" t="s">
        <v>3307</v>
      </c>
      <c r="D1394" s="3" t="s">
        <v>3248</v>
      </c>
      <c r="E1394" s="3">
        <v>1</v>
      </c>
      <c r="F1394" s="3" t="s">
        <v>3223</v>
      </c>
      <c r="G1394" s="9">
        <v>678.74039700000003</v>
      </c>
      <c r="H1394" s="66">
        <v>20022.841711500001</v>
      </c>
      <c r="I1394" s="9">
        <v>830.64151041897401</v>
      </c>
      <c r="J1394" s="10">
        <v>1.2237985452028044</v>
      </c>
      <c r="K1394" s="66">
        <v>8022.7011935650316</v>
      </c>
      <c r="L1394" s="69">
        <v>28045.542905065035</v>
      </c>
      <c r="M1394" s="64">
        <v>518468.55330685311</v>
      </c>
      <c r="N1394" s="67">
        <v>10392.340095057645</v>
      </c>
      <c r="O1394" s="64">
        <f t="shared" si="42"/>
        <v>38437.883000122682</v>
      </c>
      <c r="P1394" s="64">
        <f t="shared" si="43"/>
        <v>56.631199748852843</v>
      </c>
    </row>
    <row r="1395" spans="1:16" ht="15">
      <c r="A1395" s="3" t="str">
        <f>"058727"</f>
        <v>058727</v>
      </c>
      <c r="B1395" s="3" t="s">
        <v>2699</v>
      </c>
      <c r="C1395" s="61" t="s">
        <v>3307</v>
      </c>
      <c r="D1395" s="3" t="s">
        <v>3249</v>
      </c>
      <c r="E1395" s="3">
        <v>1</v>
      </c>
      <c r="F1395" s="3" t="s">
        <v>3220</v>
      </c>
      <c r="G1395" s="9">
        <v>91</v>
      </c>
      <c r="H1395" s="66">
        <v>2684.5</v>
      </c>
      <c r="I1395" s="9">
        <v>101.56180000000001</v>
      </c>
      <c r="J1395" s="10">
        <v>1.1160637362637362</v>
      </c>
      <c r="K1395" s="66">
        <v>557.82451858980937</v>
      </c>
      <c r="L1395" s="69">
        <v>3242.3245185898095</v>
      </c>
      <c r="M1395" s="64">
        <v>0</v>
      </c>
      <c r="N1395" s="67">
        <v>0</v>
      </c>
      <c r="O1395" s="64">
        <f t="shared" si="42"/>
        <v>3242.3245185898095</v>
      </c>
      <c r="P1395" s="64">
        <f t="shared" si="43"/>
        <v>35.629939764723183</v>
      </c>
    </row>
    <row r="1396" spans="1:16" ht="15">
      <c r="A1396" s="3" t="s">
        <v>781</v>
      </c>
      <c r="B1396" s="3" t="s">
        <v>782</v>
      </c>
      <c r="C1396" s="61" t="s">
        <v>3307</v>
      </c>
      <c r="D1396" s="3" t="s">
        <v>3248</v>
      </c>
      <c r="E1396" s="3">
        <v>1</v>
      </c>
      <c r="F1396" s="3" t="s">
        <v>1905</v>
      </c>
      <c r="G1396" s="9">
        <v>1880.5873570000001</v>
      </c>
      <c r="H1396" s="66">
        <v>55477.327031500005</v>
      </c>
      <c r="I1396" s="9">
        <v>2319.1858217910999</v>
      </c>
      <c r="J1396" s="10">
        <v>1.2332241909202093</v>
      </c>
      <c r="K1396" s="66">
        <v>23164.704640906337</v>
      </c>
      <c r="L1396" s="69">
        <v>78642.031672406345</v>
      </c>
      <c r="M1396" s="64">
        <v>854885.56592807209</v>
      </c>
      <c r="N1396" s="67">
        <v>17135.584186958862</v>
      </c>
      <c r="O1396" s="64">
        <f t="shared" si="42"/>
        <v>95777.615859365207</v>
      </c>
      <c r="P1396" s="64">
        <f t="shared" si="43"/>
        <v>50.929628715655141</v>
      </c>
    </row>
    <row r="1397" spans="1:16" ht="15">
      <c r="A1397" s="3" t="str">
        <f>"058628"</f>
        <v>058628</v>
      </c>
      <c r="B1397" s="3" t="s">
        <v>2689</v>
      </c>
      <c r="C1397" s="61" t="s">
        <v>3307</v>
      </c>
      <c r="D1397" s="3" t="s">
        <v>3249</v>
      </c>
      <c r="E1397" s="3">
        <v>1</v>
      </c>
      <c r="F1397" s="3" t="s">
        <v>3220</v>
      </c>
      <c r="G1397" s="9">
        <v>66</v>
      </c>
      <c r="H1397" s="66">
        <v>1947</v>
      </c>
      <c r="I1397" s="9">
        <v>77.9114</v>
      </c>
      <c r="J1397" s="10">
        <v>1.1804757575757576</v>
      </c>
      <c r="K1397" s="66">
        <v>629.10403252576759</v>
      </c>
      <c r="L1397" s="69">
        <v>2576.1040325257677</v>
      </c>
      <c r="M1397" s="64">
        <v>0</v>
      </c>
      <c r="N1397" s="67">
        <v>0</v>
      </c>
      <c r="O1397" s="64">
        <f t="shared" si="42"/>
        <v>2576.1040325257677</v>
      </c>
      <c r="P1397" s="64">
        <f t="shared" si="43"/>
        <v>39.031879280693452</v>
      </c>
    </row>
    <row r="1398" spans="1:16" ht="15">
      <c r="A1398" s="3" t="str">
        <f>"059204"</f>
        <v>059204</v>
      </c>
      <c r="B1398" s="3" t="s">
        <v>2741</v>
      </c>
      <c r="C1398" s="61" t="s">
        <v>3307</v>
      </c>
      <c r="D1398" s="3" t="s">
        <v>3249</v>
      </c>
      <c r="E1398" s="3">
        <v>1</v>
      </c>
      <c r="F1398" s="3" t="s">
        <v>3220</v>
      </c>
      <c r="G1398" s="9">
        <v>67</v>
      </c>
      <c r="H1398" s="66">
        <v>1976.5</v>
      </c>
      <c r="I1398" s="9">
        <v>77.774000000000001</v>
      </c>
      <c r="J1398" s="10">
        <v>1.1608059701492537</v>
      </c>
      <c r="K1398" s="66">
        <v>569.03192290013101</v>
      </c>
      <c r="L1398" s="69">
        <v>2545.5319229001311</v>
      </c>
      <c r="M1398" s="64">
        <v>0</v>
      </c>
      <c r="N1398" s="67">
        <v>0</v>
      </c>
      <c r="O1398" s="64">
        <f t="shared" si="42"/>
        <v>2545.5319229001311</v>
      </c>
      <c r="P1398" s="64">
        <f t="shared" si="43"/>
        <v>37.993013774628821</v>
      </c>
    </row>
    <row r="1399" spans="1:16" ht="15">
      <c r="A1399" s="3" t="str">
        <f>"059378"</f>
        <v>059378</v>
      </c>
      <c r="B1399" s="3" t="s">
        <v>2673</v>
      </c>
      <c r="C1399" s="61" t="s">
        <v>3307</v>
      </c>
      <c r="D1399" s="3" t="s">
        <v>3249</v>
      </c>
      <c r="E1399" s="3">
        <v>1</v>
      </c>
      <c r="F1399" s="3" t="s">
        <v>3220</v>
      </c>
      <c r="G1399" s="9">
        <v>130</v>
      </c>
      <c r="H1399" s="66">
        <v>3835</v>
      </c>
      <c r="I1399" s="9">
        <v>149.79840000000002</v>
      </c>
      <c r="J1399" s="10">
        <v>1.1522953846153847</v>
      </c>
      <c r="K1399" s="66">
        <v>1045.6582162934808</v>
      </c>
      <c r="L1399" s="69">
        <v>4880.658216293481</v>
      </c>
      <c r="M1399" s="64">
        <v>0</v>
      </c>
      <c r="N1399" s="67">
        <v>0</v>
      </c>
      <c r="O1399" s="64">
        <f t="shared" si="42"/>
        <v>4880.658216293481</v>
      </c>
      <c r="P1399" s="64">
        <f t="shared" si="43"/>
        <v>37.543524740719086</v>
      </c>
    </row>
    <row r="1400" spans="1:16" ht="15">
      <c r="A1400" s="3" t="str">
        <f>"053785"</f>
        <v>053785</v>
      </c>
      <c r="B1400" s="3" t="s">
        <v>2909</v>
      </c>
      <c r="C1400" s="61" t="s">
        <v>3307</v>
      </c>
      <c r="D1400" s="3" t="s">
        <v>3249</v>
      </c>
      <c r="E1400" s="3">
        <v>1</v>
      </c>
      <c r="F1400" s="3" t="s">
        <v>3220</v>
      </c>
      <c r="G1400" s="9">
        <v>203</v>
      </c>
      <c r="H1400" s="66">
        <v>5988.5</v>
      </c>
      <c r="I1400" s="9">
        <v>235.84640000000002</v>
      </c>
      <c r="J1400" s="10">
        <v>1.1618049261083745</v>
      </c>
      <c r="K1400" s="66">
        <v>1734.7921062137432</v>
      </c>
      <c r="L1400" s="69">
        <v>7723.292106213743</v>
      </c>
      <c r="M1400" s="64">
        <v>0</v>
      </c>
      <c r="N1400" s="67">
        <v>0</v>
      </c>
      <c r="O1400" s="64">
        <f t="shared" si="42"/>
        <v>7723.292106213743</v>
      </c>
      <c r="P1400" s="64">
        <f t="shared" si="43"/>
        <v>38.045773922235185</v>
      </c>
    </row>
    <row r="1401" spans="1:16" ht="15">
      <c r="A1401" s="3" t="s">
        <v>211</v>
      </c>
      <c r="B1401" s="3" t="s">
        <v>1793</v>
      </c>
      <c r="C1401" s="61" t="s">
        <v>3307</v>
      </c>
      <c r="D1401" s="3" t="s">
        <v>1684</v>
      </c>
      <c r="E1401" s="3">
        <v>1</v>
      </c>
      <c r="F1401" s="3" t="s">
        <v>3266</v>
      </c>
      <c r="G1401" s="9">
        <v>313.82931500000001</v>
      </c>
      <c r="H1401" s="66">
        <v>9257.9647925000008</v>
      </c>
      <c r="I1401" s="9">
        <v>361.30029768366001</v>
      </c>
      <c r="J1401" s="10">
        <v>1.1512636978596471</v>
      </c>
      <c r="K1401" s="66">
        <v>2507.1936660889055</v>
      </c>
      <c r="L1401" s="69">
        <v>11765.158458588907</v>
      </c>
      <c r="M1401" s="64">
        <v>0</v>
      </c>
      <c r="N1401" s="67">
        <v>0</v>
      </c>
      <c r="O1401" s="64">
        <f t="shared" si="42"/>
        <v>11765.158458588907</v>
      </c>
      <c r="P1401" s="64">
        <f t="shared" si="43"/>
        <v>37.48903590663258</v>
      </c>
    </row>
    <row r="1402" spans="1:16" ht="15">
      <c r="A1402" s="3" t="s">
        <v>1476</v>
      </c>
      <c r="B1402" s="3" t="s">
        <v>1477</v>
      </c>
      <c r="C1402" s="61" t="s">
        <v>3320</v>
      </c>
      <c r="D1402" s="3" t="s">
        <v>3248</v>
      </c>
      <c r="E1402" s="3">
        <v>1</v>
      </c>
      <c r="F1402" s="3" t="s">
        <v>3224</v>
      </c>
      <c r="G1402" s="9">
        <v>1191.540471</v>
      </c>
      <c r="H1402" s="66">
        <v>35150.4438945</v>
      </c>
      <c r="I1402" s="9">
        <v>1398.3632682515799</v>
      </c>
      <c r="J1402" s="10">
        <v>1.1735759735277844</v>
      </c>
      <c r="K1402" s="66">
        <v>10923.405793544685</v>
      </c>
      <c r="L1402" s="69">
        <v>46073.849688044684</v>
      </c>
      <c r="M1402" s="64">
        <v>909537.4498349916</v>
      </c>
      <c r="N1402" s="67">
        <v>18231.043035472998</v>
      </c>
      <c r="O1402" s="64">
        <f t="shared" si="42"/>
        <v>64304.892723517682</v>
      </c>
      <c r="P1402" s="64">
        <f t="shared" si="43"/>
        <v>53.967862853663561</v>
      </c>
    </row>
    <row r="1403" spans="1:16" ht="15">
      <c r="A1403" s="3" t="str">
        <f>"057992"</f>
        <v>057992</v>
      </c>
      <c r="B1403" s="3" t="s">
        <v>2870</v>
      </c>
      <c r="C1403" s="61" t="s">
        <v>3320</v>
      </c>
      <c r="D1403" s="3" t="s">
        <v>3249</v>
      </c>
      <c r="E1403" s="3">
        <v>1</v>
      </c>
      <c r="F1403" s="3" t="s">
        <v>3220</v>
      </c>
      <c r="G1403" s="9">
        <v>173</v>
      </c>
      <c r="H1403" s="66">
        <v>5103.5</v>
      </c>
      <c r="I1403" s="9">
        <v>197.19759999999999</v>
      </c>
      <c r="J1403" s="10">
        <v>1.1398705202312138</v>
      </c>
      <c r="K1403" s="66">
        <v>1278.0032353413965</v>
      </c>
      <c r="L1403" s="69">
        <v>6381.5032353413962</v>
      </c>
      <c r="M1403" s="64">
        <v>0</v>
      </c>
      <c r="N1403" s="67">
        <v>0</v>
      </c>
      <c r="O1403" s="64">
        <f t="shared" si="42"/>
        <v>6381.5032353413962</v>
      </c>
      <c r="P1403" s="64">
        <f t="shared" si="43"/>
        <v>36.887301938389577</v>
      </c>
    </row>
    <row r="1404" spans="1:16" ht="15">
      <c r="A1404" s="3" t="s">
        <v>595</v>
      </c>
      <c r="B1404" s="3" t="s">
        <v>596</v>
      </c>
      <c r="C1404" s="61" t="s">
        <v>3320</v>
      </c>
      <c r="D1404" s="3" t="s">
        <v>3248</v>
      </c>
      <c r="E1404" s="3">
        <v>1</v>
      </c>
      <c r="F1404" s="3" t="s">
        <v>1905</v>
      </c>
      <c r="G1404" s="9">
        <v>2629.7694769999998</v>
      </c>
      <c r="H1404" s="66">
        <v>77578.199571499994</v>
      </c>
      <c r="I1404" s="9">
        <v>3526.3165223890601</v>
      </c>
      <c r="J1404" s="10">
        <v>1.3409222949883148</v>
      </c>
      <c r="K1404" s="66">
        <v>47351.391238924072</v>
      </c>
      <c r="L1404" s="69">
        <v>124929.59081042407</v>
      </c>
      <c r="M1404" s="64">
        <v>1253458.1289402987</v>
      </c>
      <c r="N1404" s="67">
        <v>25124.692882101594</v>
      </c>
      <c r="O1404" s="64">
        <f t="shared" si="42"/>
        <v>150054.28369252567</v>
      </c>
      <c r="P1404" s="64">
        <f t="shared" si="43"/>
        <v>57.05986209243909</v>
      </c>
    </row>
    <row r="1405" spans="1:16" ht="15">
      <c r="A1405" s="3" t="s">
        <v>1478</v>
      </c>
      <c r="B1405" s="3" t="s">
        <v>1479</v>
      </c>
      <c r="C1405" s="61" t="s">
        <v>3320</v>
      </c>
      <c r="D1405" s="3" t="s">
        <v>3248</v>
      </c>
      <c r="E1405" s="3">
        <v>1</v>
      </c>
      <c r="F1405" s="3" t="s">
        <v>3224</v>
      </c>
      <c r="G1405" s="9">
        <v>1047.2140850000001</v>
      </c>
      <c r="H1405" s="66">
        <v>30892.815507500003</v>
      </c>
      <c r="I1405" s="9">
        <v>1447.53792439575</v>
      </c>
      <c r="J1405" s="10">
        <v>1.3822750716686072</v>
      </c>
      <c r="K1405" s="66">
        <v>21143.219242075997</v>
      </c>
      <c r="L1405" s="69">
        <v>52036.034749576</v>
      </c>
      <c r="M1405" s="64">
        <v>1090829.6043643267</v>
      </c>
      <c r="N1405" s="67">
        <v>21864.917673419513</v>
      </c>
      <c r="O1405" s="64">
        <f t="shared" si="42"/>
        <v>73900.952422995513</v>
      </c>
      <c r="P1405" s="64">
        <f t="shared" si="43"/>
        <v>70.569097075308633</v>
      </c>
    </row>
    <row r="1406" spans="1:16" ht="15">
      <c r="A1406" s="3" t="str">
        <f>"011374"</f>
        <v>011374</v>
      </c>
      <c r="B1406" s="3" t="s">
        <v>3195</v>
      </c>
      <c r="C1406" s="61" t="s">
        <v>3320</v>
      </c>
      <c r="D1406" s="3" t="s">
        <v>3249</v>
      </c>
      <c r="E1406" s="3">
        <v>1</v>
      </c>
      <c r="F1406" s="3" t="s">
        <v>3220</v>
      </c>
      <c r="G1406" s="9">
        <v>40</v>
      </c>
      <c r="H1406" s="66">
        <v>1180</v>
      </c>
      <c r="I1406" s="9">
        <v>40</v>
      </c>
      <c r="J1406" s="10">
        <v>1</v>
      </c>
      <c r="K1406" s="66">
        <v>0</v>
      </c>
      <c r="L1406" s="69">
        <v>1180</v>
      </c>
      <c r="M1406" s="64">
        <v>0</v>
      </c>
      <c r="N1406" s="67">
        <v>0</v>
      </c>
      <c r="O1406" s="64">
        <f t="shared" si="42"/>
        <v>1180</v>
      </c>
      <c r="P1406" s="64">
        <f t="shared" si="43"/>
        <v>29.5</v>
      </c>
    </row>
    <row r="1407" spans="1:16" ht="15">
      <c r="A1407" s="3" t="s">
        <v>1480</v>
      </c>
      <c r="B1407" s="3" t="s">
        <v>1481</v>
      </c>
      <c r="C1407" s="61" t="s">
        <v>3320</v>
      </c>
      <c r="D1407" s="3" t="s">
        <v>3248</v>
      </c>
      <c r="E1407" s="3">
        <v>1</v>
      </c>
      <c r="F1407" s="3" t="s">
        <v>3224</v>
      </c>
      <c r="G1407" s="9">
        <v>842.80565899999999</v>
      </c>
      <c r="H1407" s="66">
        <v>24862.766940500002</v>
      </c>
      <c r="I1407" s="9">
        <v>1125.1549898036401</v>
      </c>
      <c r="J1407" s="10">
        <v>1.3350111947974475</v>
      </c>
      <c r="K1407" s="66">
        <v>14912.36148475594</v>
      </c>
      <c r="L1407" s="69">
        <v>39775.128425255942</v>
      </c>
      <c r="M1407" s="64">
        <v>713575.36962307384</v>
      </c>
      <c r="N1407" s="67">
        <v>14303.11998149383</v>
      </c>
      <c r="O1407" s="64">
        <f t="shared" si="42"/>
        <v>54078.248406749772</v>
      </c>
      <c r="P1407" s="64">
        <f t="shared" si="43"/>
        <v>64.16455303695318</v>
      </c>
    </row>
    <row r="1408" spans="1:16" ht="15">
      <c r="A1408" s="3" t="s">
        <v>504</v>
      </c>
      <c r="B1408" s="3" t="s">
        <v>1849</v>
      </c>
      <c r="C1408" s="61" t="s">
        <v>3320</v>
      </c>
      <c r="D1408" s="3" t="s">
        <v>456</v>
      </c>
      <c r="E1408" s="3">
        <v>1</v>
      </c>
      <c r="F1408" s="3" t="s">
        <v>1897</v>
      </c>
      <c r="G1408" s="9">
        <v>1140.805456</v>
      </c>
      <c r="H1408" s="66">
        <v>33653.760952000004</v>
      </c>
      <c r="I1408" s="9">
        <v>1500.9406106827701</v>
      </c>
      <c r="J1408" s="10">
        <v>1.3156849862425359</v>
      </c>
      <c r="K1408" s="66">
        <v>19020.642247361495</v>
      </c>
      <c r="L1408" s="69">
        <v>52674.403199361499</v>
      </c>
      <c r="M1408" s="64">
        <v>0</v>
      </c>
      <c r="N1408" s="67">
        <v>0</v>
      </c>
      <c r="O1408" s="64">
        <f t="shared" si="42"/>
        <v>52674.403199361499</v>
      </c>
      <c r="P1408" s="64">
        <f t="shared" si="43"/>
        <v>46.172993758334108</v>
      </c>
    </row>
    <row r="1409" spans="1:16" ht="15">
      <c r="A1409" s="19">
        <v>66225</v>
      </c>
      <c r="B1409" s="20" t="s">
        <v>1937</v>
      </c>
      <c r="C1409" s="61" t="s">
        <v>3320</v>
      </c>
      <c r="D1409" s="19" t="s">
        <v>1973</v>
      </c>
      <c r="E1409" s="19">
        <v>1</v>
      </c>
      <c r="F1409" s="19" t="s">
        <v>1974</v>
      </c>
      <c r="G1409" s="9">
        <v>95.320000000000007</v>
      </c>
      <c r="H1409" s="66">
        <v>2811.94</v>
      </c>
      <c r="I1409" s="9">
        <v>462.22025400000007</v>
      </c>
      <c r="J1409" s="10">
        <v>4.8491424045321025</v>
      </c>
      <c r="K1409" s="66">
        <v>19377.942922421247</v>
      </c>
      <c r="L1409" s="69">
        <v>22189.882922421246</v>
      </c>
      <c r="M1409" s="64">
        <v>0</v>
      </c>
      <c r="N1409" s="67">
        <v>0</v>
      </c>
      <c r="O1409" s="64">
        <f t="shared" si="42"/>
        <v>22189.882922421246</v>
      </c>
      <c r="P1409" s="64">
        <f t="shared" si="43"/>
        <v>232.79356821675665</v>
      </c>
    </row>
    <row r="1410" spans="1:16" ht="15">
      <c r="A1410" s="3" t="str">
        <f>"011576"</f>
        <v>011576</v>
      </c>
      <c r="B1410" s="3" t="s">
        <v>3194</v>
      </c>
      <c r="C1410" s="61" t="s">
        <v>3320</v>
      </c>
      <c r="D1410" s="3" t="s">
        <v>3249</v>
      </c>
      <c r="E1410" s="3">
        <v>1</v>
      </c>
      <c r="F1410" s="3" t="s">
        <v>3220</v>
      </c>
      <c r="G1410" s="9">
        <v>281</v>
      </c>
      <c r="H1410" s="66">
        <v>8289.5</v>
      </c>
      <c r="I1410" s="9">
        <v>281</v>
      </c>
      <c r="J1410" s="10">
        <v>1</v>
      </c>
      <c r="K1410" s="66">
        <v>0</v>
      </c>
      <c r="L1410" s="69">
        <v>8289.5</v>
      </c>
      <c r="M1410" s="64">
        <v>0</v>
      </c>
      <c r="N1410" s="67">
        <v>0</v>
      </c>
      <c r="O1410" s="64">
        <f t="shared" si="42"/>
        <v>8289.5</v>
      </c>
      <c r="P1410" s="64">
        <f t="shared" si="43"/>
        <v>29.5</v>
      </c>
    </row>
    <row r="1411" spans="1:16" ht="15">
      <c r="A1411" s="3" t="s">
        <v>1482</v>
      </c>
      <c r="B1411" s="3" t="s">
        <v>1039</v>
      </c>
      <c r="C1411" s="61" t="s">
        <v>3320</v>
      </c>
      <c r="D1411" s="3" t="s">
        <v>3248</v>
      </c>
      <c r="E1411" s="3">
        <v>1</v>
      </c>
      <c r="F1411" s="3" t="s">
        <v>3223</v>
      </c>
      <c r="G1411" s="9">
        <v>1017.258276</v>
      </c>
      <c r="H1411" s="66">
        <v>30009.119142</v>
      </c>
      <c r="I1411" s="9">
        <v>1258.98017197993</v>
      </c>
      <c r="J1411" s="10">
        <v>1.237620967735366</v>
      </c>
      <c r="K1411" s="66">
        <v>12766.611776176442</v>
      </c>
      <c r="L1411" s="69">
        <v>42775.730918176443</v>
      </c>
      <c r="M1411" s="64">
        <v>1038519.7273375957</v>
      </c>
      <c r="N1411" s="67">
        <v>20816.402717352947</v>
      </c>
      <c r="O1411" s="64">
        <f t="shared" ref="O1411:O1474" si="44">(N1411+L1411)</f>
        <v>63592.13363552939</v>
      </c>
      <c r="P1411" s="64">
        <f t="shared" ref="P1411:P1474" si="45">O1411/G1411</f>
        <v>62.513262497683911</v>
      </c>
    </row>
    <row r="1412" spans="1:16" ht="15">
      <c r="A1412" s="3" t="s">
        <v>1483</v>
      </c>
      <c r="B1412" s="3" t="s">
        <v>1484</v>
      </c>
      <c r="C1412" s="61" t="s">
        <v>3320</v>
      </c>
      <c r="D1412" s="3" t="s">
        <v>3248</v>
      </c>
      <c r="E1412" s="3">
        <v>1</v>
      </c>
      <c r="F1412" s="3" t="s">
        <v>1904</v>
      </c>
      <c r="G1412" s="9">
        <v>2098.716199</v>
      </c>
      <c r="H1412" s="66">
        <v>61912.1278705</v>
      </c>
      <c r="I1412" s="9">
        <v>2419.9824696117098</v>
      </c>
      <c r="J1412" s="10">
        <v>1.1530775198498908</v>
      </c>
      <c r="K1412" s="66">
        <v>16967.770904876099</v>
      </c>
      <c r="L1412" s="69">
        <v>78879.898775376103</v>
      </c>
      <c r="M1412" s="64">
        <v>1124385.5310486169</v>
      </c>
      <c r="N1412" s="67">
        <v>22537.52279109494</v>
      </c>
      <c r="O1412" s="64">
        <f t="shared" si="44"/>
        <v>101417.42156647105</v>
      </c>
      <c r="P1412" s="64">
        <f t="shared" si="45"/>
        <v>48.323552090937596</v>
      </c>
    </row>
    <row r="1413" spans="1:16" ht="15">
      <c r="A1413" s="3" t="s">
        <v>1485</v>
      </c>
      <c r="B1413" s="3" t="s">
        <v>1486</v>
      </c>
      <c r="C1413" s="61" t="s">
        <v>3320</v>
      </c>
      <c r="D1413" s="3" t="s">
        <v>3248</v>
      </c>
      <c r="E1413" s="3">
        <v>1</v>
      </c>
      <c r="F1413" s="3" t="s">
        <v>1904</v>
      </c>
      <c r="G1413" s="9">
        <v>1247.3877299999999</v>
      </c>
      <c r="H1413" s="66">
        <v>36797.938034999999</v>
      </c>
      <c r="I1413" s="9">
        <v>1508.8698487408001</v>
      </c>
      <c r="J1413" s="10">
        <v>1.2096237701013783</v>
      </c>
      <c r="K1413" s="66">
        <v>13810.253650554843</v>
      </c>
      <c r="L1413" s="69">
        <v>50608.191685554841</v>
      </c>
      <c r="M1413" s="64">
        <v>1074178.8961669779</v>
      </c>
      <c r="N1413" s="67">
        <v>21531.165855094674</v>
      </c>
      <c r="O1413" s="64">
        <f t="shared" si="44"/>
        <v>72139.357540649507</v>
      </c>
      <c r="P1413" s="64">
        <f t="shared" si="45"/>
        <v>57.832344992402248</v>
      </c>
    </row>
    <row r="1414" spans="1:16" ht="15">
      <c r="A1414" s="3" t="str">
        <f>"053686"</f>
        <v>053686</v>
      </c>
      <c r="B1414" s="3" t="s">
        <v>2876</v>
      </c>
      <c r="C1414" s="61" t="s">
        <v>3304</v>
      </c>
      <c r="D1414" s="3" t="s">
        <v>3249</v>
      </c>
      <c r="E1414" s="3">
        <v>1</v>
      </c>
      <c r="F1414" s="3" t="s">
        <v>3220</v>
      </c>
      <c r="G1414" s="9">
        <v>470</v>
      </c>
      <c r="H1414" s="66">
        <v>13865</v>
      </c>
      <c r="I1414" s="9">
        <v>499.17239999999998</v>
      </c>
      <c r="J1414" s="10">
        <v>1.0620689361702127</v>
      </c>
      <c r="K1414" s="66">
        <v>1540.7487346957278</v>
      </c>
      <c r="L1414" s="69">
        <v>15405.748734695728</v>
      </c>
      <c r="M1414" s="64">
        <v>0</v>
      </c>
      <c r="N1414" s="67">
        <v>0</v>
      </c>
      <c r="O1414" s="64">
        <f t="shared" si="44"/>
        <v>15405.748734695728</v>
      </c>
      <c r="P1414" s="64">
        <f t="shared" si="45"/>
        <v>32.778188797224949</v>
      </c>
    </row>
    <row r="1415" spans="1:16" ht="15">
      <c r="A1415" s="3" t="s">
        <v>880</v>
      </c>
      <c r="B1415" s="3" t="s">
        <v>881</v>
      </c>
      <c r="C1415" s="61" t="s">
        <v>3304</v>
      </c>
      <c r="D1415" s="3" t="s">
        <v>3248</v>
      </c>
      <c r="E1415" s="3">
        <v>1</v>
      </c>
      <c r="F1415" s="3" t="s">
        <v>1905</v>
      </c>
      <c r="G1415" s="9">
        <v>2121.3729370000001</v>
      </c>
      <c r="H1415" s="66">
        <v>62580.501641499999</v>
      </c>
      <c r="I1415" s="9">
        <v>2590.7559110468701</v>
      </c>
      <c r="J1415" s="10">
        <v>1.2212637702028297</v>
      </c>
      <c r="K1415" s="66">
        <v>24790.597391727559</v>
      </c>
      <c r="L1415" s="69">
        <v>87371.099033227554</v>
      </c>
      <c r="M1415" s="64">
        <v>1505946.5466733505</v>
      </c>
      <c r="N1415" s="67">
        <v>30185.64689832693</v>
      </c>
      <c r="O1415" s="64">
        <f t="shared" si="44"/>
        <v>117556.74593155448</v>
      </c>
      <c r="P1415" s="64">
        <f t="shared" si="45"/>
        <v>55.415407579301309</v>
      </c>
    </row>
    <row r="1416" spans="1:16" ht="15">
      <c r="A1416" s="3" t="s">
        <v>641</v>
      </c>
      <c r="B1416" s="3" t="s">
        <v>642</v>
      </c>
      <c r="C1416" s="61" t="s">
        <v>3304</v>
      </c>
      <c r="D1416" s="3" t="s">
        <v>3248</v>
      </c>
      <c r="E1416" s="3">
        <v>1</v>
      </c>
      <c r="F1416" s="3" t="s">
        <v>1905</v>
      </c>
      <c r="G1416" s="9">
        <v>3519.4207299999998</v>
      </c>
      <c r="H1416" s="66">
        <v>103822.91153499999</v>
      </c>
      <c r="I1416" s="9">
        <v>4459.5865822580499</v>
      </c>
      <c r="J1416" s="10">
        <v>1.2671365330788542</v>
      </c>
      <c r="K1416" s="66">
        <v>49655.13112636334</v>
      </c>
      <c r="L1416" s="69">
        <v>153478.04266136332</v>
      </c>
      <c r="M1416" s="64">
        <v>1890347.7097055905</v>
      </c>
      <c r="N1416" s="67">
        <v>37890.699777016023</v>
      </c>
      <c r="O1416" s="64">
        <f t="shared" si="44"/>
        <v>191368.74243837933</v>
      </c>
      <c r="P1416" s="64">
        <f t="shared" si="45"/>
        <v>54.375068262548801</v>
      </c>
    </row>
    <row r="1417" spans="1:16" ht="15">
      <c r="A1417" s="3" t="s">
        <v>896</v>
      </c>
      <c r="B1417" s="3" t="s">
        <v>897</v>
      </c>
      <c r="C1417" s="61" t="s">
        <v>3304</v>
      </c>
      <c r="D1417" s="3" t="s">
        <v>3248</v>
      </c>
      <c r="E1417" s="3">
        <v>1</v>
      </c>
      <c r="F1417" s="3" t="s">
        <v>3224</v>
      </c>
      <c r="G1417" s="9">
        <v>877.34738200000004</v>
      </c>
      <c r="H1417" s="66">
        <v>25881.747769000001</v>
      </c>
      <c r="I1417" s="9">
        <v>1007.60700371796</v>
      </c>
      <c r="J1417" s="10">
        <v>1.1484698357690659</v>
      </c>
      <c r="K1417" s="66">
        <v>6879.6995565634306</v>
      </c>
      <c r="L1417" s="69">
        <v>32761.447325563433</v>
      </c>
      <c r="M1417" s="64">
        <v>205718.8159852727</v>
      </c>
      <c r="N1417" s="67">
        <v>4123.4900092508205</v>
      </c>
      <c r="O1417" s="64">
        <f t="shared" si="44"/>
        <v>36884.937334814254</v>
      </c>
      <c r="P1417" s="64">
        <f t="shared" si="45"/>
        <v>42.04142861944991</v>
      </c>
    </row>
    <row r="1418" spans="1:16" ht="15">
      <c r="A1418" s="3" t="s">
        <v>1487</v>
      </c>
      <c r="B1418" s="3" t="s">
        <v>1013</v>
      </c>
      <c r="C1418" s="61" t="s">
        <v>3304</v>
      </c>
      <c r="D1418" s="3" t="s">
        <v>3248</v>
      </c>
      <c r="E1418" s="3">
        <v>1</v>
      </c>
      <c r="F1418" s="3" t="s">
        <v>3223</v>
      </c>
      <c r="G1418" s="9">
        <v>1005.703805</v>
      </c>
      <c r="H1418" s="66">
        <v>29668.262247499999</v>
      </c>
      <c r="I1418" s="9">
        <v>1158.07471391734</v>
      </c>
      <c r="J1418" s="10">
        <v>1.1515067439934166</v>
      </c>
      <c r="K1418" s="66">
        <v>8047.5135785478642</v>
      </c>
      <c r="L1418" s="69">
        <v>37715.775826047866</v>
      </c>
      <c r="M1418" s="64">
        <v>1335907.7585993202</v>
      </c>
      <c r="N1418" s="67">
        <v>26777.338132547447</v>
      </c>
      <c r="O1418" s="64">
        <f t="shared" si="44"/>
        <v>64493.113958595313</v>
      </c>
      <c r="P1418" s="64">
        <f t="shared" si="45"/>
        <v>64.127344092722524</v>
      </c>
    </row>
    <row r="1419" spans="1:16" ht="15">
      <c r="A1419" s="19">
        <v>66233</v>
      </c>
      <c r="B1419" s="20" t="s">
        <v>1936</v>
      </c>
      <c r="C1419" s="61" t="s">
        <v>3304</v>
      </c>
      <c r="D1419" s="19" t="s">
        <v>1973</v>
      </c>
      <c r="E1419" s="19">
        <v>1</v>
      </c>
      <c r="F1419" s="19" t="s">
        <v>1974</v>
      </c>
      <c r="G1419" s="9">
        <v>21.659999999999997</v>
      </c>
      <c r="H1419" s="66">
        <v>638.96999999999991</v>
      </c>
      <c r="I1419" s="9">
        <v>94.800218999999984</v>
      </c>
      <c r="J1419" s="10">
        <v>4.3767414127423825</v>
      </c>
      <c r="K1419" s="66">
        <v>3862.9217986733511</v>
      </c>
      <c r="L1419" s="69">
        <v>4501.8917986733513</v>
      </c>
      <c r="M1419" s="64">
        <v>0</v>
      </c>
      <c r="N1419" s="67">
        <v>0</v>
      </c>
      <c r="O1419" s="64">
        <f t="shared" si="44"/>
        <v>4501.8917986733513</v>
      </c>
      <c r="P1419" s="64">
        <f t="shared" si="45"/>
        <v>207.84357334595347</v>
      </c>
    </row>
    <row r="1420" spans="1:16" ht="15">
      <c r="A1420" s="3" t="str">
        <f>"060863"</f>
        <v>060863</v>
      </c>
      <c r="B1420" s="3" t="s">
        <v>2651</v>
      </c>
      <c r="C1420" s="61" t="s">
        <v>3304</v>
      </c>
      <c r="D1420" s="3" t="s">
        <v>3249</v>
      </c>
      <c r="E1420" s="3">
        <v>1</v>
      </c>
      <c r="F1420" s="3" t="s">
        <v>3220</v>
      </c>
      <c r="G1420" s="9">
        <v>67</v>
      </c>
      <c r="H1420" s="66">
        <v>1976.5</v>
      </c>
      <c r="I1420" s="9">
        <v>69.237399999999994</v>
      </c>
      <c r="J1420" s="10">
        <v>1.0333940298507462</v>
      </c>
      <c r="K1420" s="66">
        <v>118.16892744540093</v>
      </c>
      <c r="L1420" s="69">
        <v>2094.6689274454011</v>
      </c>
      <c r="M1420" s="64">
        <v>0</v>
      </c>
      <c r="N1420" s="67">
        <v>0</v>
      </c>
      <c r="O1420" s="64">
        <f t="shared" si="44"/>
        <v>2094.6689274454011</v>
      </c>
      <c r="P1420" s="64">
        <f t="shared" si="45"/>
        <v>31.263715335005987</v>
      </c>
    </row>
    <row r="1421" spans="1:16" ht="15">
      <c r="A1421" s="3" t="s">
        <v>505</v>
      </c>
      <c r="B1421" s="3" t="s">
        <v>506</v>
      </c>
      <c r="C1421" s="61" t="s">
        <v>3304</v>
      </c>
      <c r="D1421" s="3" t="s">
        <v>456</v>
      </c>
      <c r="E1421" s="3">
        <v>1</v>
      </c>
      <c r="F1421" s="3" t="s">
        <v>1897</v>
      </c>
      <c r="G1421" s="9">
        <v>744.28912400000002</v>
      </c>
      <c r="H1421" s="66">
        <v>21956.529158000001</v>
      </c>
      <c r="I1421" s="9">
        <v>921.32401935175301</v>
      </c>
      <c r="J1421" s="10">
        <v>1.237857694870405</v>
      </c>
      <c r="K1421" s="66">
        <v>9350.1491481744451</v>
      </c>
      <c r="L1421" s="69">
        <v>31306.678306174446</v>
      </c>
      <c r="M1421" s="64">
        <v>0</v>
      </c>
      <c r="N1421" s="67">
        <v>0</v>
      </c>
      <c r="O1421" s="64">
        <f t="shared" si="44"/>
        <v>31306.678306174446</v>
      </c>
      <c r="P1421" s="64">
        <f t="shared" si="45"/>
        <v>42.062522878104616</v>
      </c>
    </row>
    <row r="1422" spans="1:16" ht="15">
      <c r="A1422" s="3" t="s">
        <v>1488</v>
      </c>
      <c r="B1422" s="3" t="s">
        <v>1489</v>
      </c>
      <c r="C1422" s="61" t="s">
        <v>3304</v>
      </c>
      <c r="D1422" s="3" t="s">
        <v>3248</v>
      </c>
      <c r="E1422" s="3">
        <v>1</v>
      </c>
      <c r="F1422" s="3" t="s">
        <v>1904</v>
      </c>
      <c r="G1422" s="9">
        <v>934.71157500000004</v>
      </c>
      <c r="H1422" s="66">
        <v>27573.991462500002</v>
      </c>
      <c r="I1422" s="9">
        <v>1101.37768179267</v>
      </c>
      <c r="J1422" s="10">
        <v>1.1783075242142689</v>
      </c>
      <c r="K1422" s="66">
        <v>8802.5185846028944</v>
      </c>
      <c r="L1422" s="69">
        <v>36376.5100471029</v>
      </c>
      <c r="M1422" s="64">
        <v>1046975.359011776</v>
      </c>
      <c r="N1422" s="67">
        <v>20985.889949541201</v>
      </c>
      <c r="O1422" s="64">
        <f t="shared" si="44"/>
        <v>57362.399996644104</v>
      </c>
      <c r="P1422" s="64">
        <f t="shared" si="45"/>
        <v>61.369091312091754</v>
      </c>
    </row>
    <row r="1423" spans="1:16" ht="15">
      <c r="A1423" s="3" t="s">
        <v>1490</v>
      </c>
      <c r="B1423" s="3" t="s">
        <v>1491</v>
      </c>
      <c r="C1423" s="61" t="s">
        <v>3352</v>
      </c>
      <c r="D1423" s="3" t="s">
        <v>3248</v>
      </c>
      <c r="E1423" s="3">
        <v>1</v>
      </c>
      <c r="F1423" s="3" t="s">
        <v>3224</v>
      </c>
      <c r="G1423" s="9">
        <v>842.98540400000002</v>
      </c>
      <c r="H1423" s="66">
        <v>24868.069417999999</v>
      </c>
      <c r="I1423" s="9">
        <v>1034.1150242721201</v>
      </c>
      <c r="J1423" s="10">
        <v>1.2267294538733438</v>
      </c>
      <c r="K1423" s="66">
        <v>10094.566117191047</v>
      </c>
      <c r="L1423" s="69">
        <v>34962.635535191046</v>
      </c>
      <c r="M1423" s="64">
        <v>1316040.5962176933</v>
      </c>
      <c r="N1423" s="67">
        <v>26379.114736206942</v>
      </c>
      <c r="O1423" s="64">
        <f t="shared" si="44"/>
        <v>61341.750271397992</v>
      </c>
      <c r="P1423" s="64">
        <f t="shared" si="45"/>
        <v>72.767274475131941</v>
      </c>
    </row>
    <row r="1424" spans="1:16" ht="15">
      <c r="A1424" s="3" t="s">
        <v>1492</v>
      </c>
      <c r="B1424" s="3" t="s">
        <v>1493</v>
      </c>
      <c r="C1424" s="61" t="s">
        <v>3352</v>
      </c>
      <c r="D1424" s="3" t="s">
        <v>3248</v>
      </c>
      <c r="E1424" s="3">
        <v>1</v>
      </c>
      <c r="F1424" s="3" t="s">
        <v>3223</v>
      </c>
      <c r="G1424" s="9">
        <v>688.38730999999996</v>
      </c>
      <c r="H1424" s="66">
        <v>20307.425644999999</v>
      </c>
      <c r="I1424" s="9">
        <v>847.35869224032604</v>
      </c>
      <c r="J1424" s="10">
        <v>1.2309330516861592</v>
      </c>
      <c r="K1424" s="66">
        <v>8396.1194841567176</v>
      </c>
      <c r="L1424" s="69">
        <v>28703.545129156715</v>
      </c>
      <c r="M1424" s="64">
        <v>497276.10268796899</v>
      </c>
      <c r="N1424" s="67">
        <v>9967.5522214740922</v>
      </c>
      <c r="O1424" s="64">
        <f t="shared" si="44"/>
        <v>38671.097350630807</v>
      </c>
      <c r="P1424" s="64">
        <f t="shared" si="45"/>
        <v>56.176365817421605</v>
      </c>
    </row>
    <row r="1425" spans="1:16" ht="15">
      <c r="A1425" s="3" t="s">
        <v>1494</v>
      </c>
      <c r="B1425" s="3" t="s">
        <v>1495</v>
      </c>
      <c r="C1425" s="61" t="s">
        <v>3352</v>
      </c>
      <c r="D1425" s="3" t="s">
        <v>3248</v>
      </c>
      <c r="E1425" s="3">
        <v>1</v>
      </c>
      <c r="F1425" s="3" t="s">
        <v>3223</v>
      </c>
      <c r="G1425" s="9">
        <v>569.82509900000002</v>
      </c>
      <c r="H1425" s="66">
        <v>16809.840420500001</v>
      </c>
      <c r="I1425" s="9">
        <v>689.47368674626398</v>
      </c>
      <c r="J1425" s="10">
        <v>1.2099742323675076</v>
      </c>
      <c r="K1425" s="66">
        <v>6319.2747315334718</v>
      </c>
      <c r="L1425" s="69">
        <v>23129.115152033472</v>
      </c>
      <c r="M1425" s="64">
        <v>626636.3619114944</v>
      </c>
      <c r="N1425" s="67">
        <v>12560.488282998433</v>
      </c>
      <c r="O1425" s="64">
        <f t="shared" si="44"/>
        <v>35689.603435031902</v>
      </c>
      <c r="P1425" s="64">
        <f t="shared" si="45"/>
        <v>62.632557775472613</v>
      </c>
    </row>
    <row r="1426" spans="1:16" ht="15">
      <c r="A1426" s="3" t="s">
        <v>1496</v>
      </c>
      <c r="B1426" s="3" t="s">
        <v>1497</v>
      </c>
      <c r="C1426" s="61" t="s">
        <v>3352</v>
      </c>
      <c r="D1426" s="3" t="s">
        <v>3248</v>
      </c>
      <c r="E1426" s="3">
        <v>1</v>
      </c>
      <c r="F1426" s="3" t="s">
        <v>3224</v>
      </c>
      <c r="G1426" s="9">
        <v>1327.7864239999999</v>
      </c>
      <c r="H1426" s="66">
        <v>39169.699507999998</v>
      </c>
      <c r="I1426" s="9">
        <v>1696.5101175452501</v>
      </c>
      <c r="J1426" s="10">
        <v>1.2776980445653736</v>
      </c>
      <c r="K1426" s="66">
        <v>19474.248408844654</v>
      </c>
      <c r="L1426" s="69">
        <v>58643.947916844656</v>
      </c>
      <c r="M1426" s="64">
        <v>1520629.7639533253</v>
      </c>
      <c r="N1426" s="67">
        <v>30479.961735147543</v>
      </c>
      <c r="O1426" s="64">
        <f t="shared" si="44"/>
        <v>89123.909651992202</v>
      </c>
      <c r="P1426" s="64">
        <f t="shared" si="45"/>
        <v>67.122172693635108</v>
      </c>
    </row>
    <row r="1427" spans="1:16" ht="15">
      <c r="A1427" s="3" t="s">
        <v>722</v>
      </c>
      <c r="B1427" s="3" t="s">
        <v>723</v>
      </c>
      <c r="C1427" s="61" t="s">
        <v>3352</v>
      </c>
      <c r="D1427" s="3" t="s">
        <v>3248</v>
      </c>
      <c r="E1427" s="3">
        <v>1</v>
      </c>
      <c r="F1427" s="3" t="s">
        <v>1905</v>
      </c>
      <c r="G1427" s="9">
        <v>414.43161099999998</v>
      </c>
      <c r="H1427" s="66">
        <v>12225.732524499999</v>
      </c>
      <c r="I1427" s="9">
        <v>588.76559616622001</v>
      </c>
      <c r="J1427" s="10">
        <v>1.4206580302732266</v>
      </c>
      <c r="K1427" s="66">
        <v>9207.4997963594851</v>
      </c>
      <c r="L1427" s="69">
        <v>21433.232320859483</v>
      </c>
      <c r="M1427" s="64">
        <v>85913.651268617425</v>
      </c>
      <c r="N1427" s="67">
        <v>1722.0791446211931</v>
      </c>
      <c r="O1427" s="64">
        <f t="shared" si="44"/>
        <v>23155.311465480674</v>
      </c>
      <c r="P1427" s="64">
        <f t="shared" si="45"/>
        <v>55.872454829418587</v>
      </c>
    </row>
    <row r="1428" spans="1:16" ht="15">
      <c r="A1428" s="3" t="s">
        <v>1498</v>
      </c>
      <c r="B1428" s="3" t="s">
        <v>1185</v>
      </c>
      <c r="C1428" s="61" t="s">
        <v>3352</v>
      </c>
      <c r="D1428" s="3" t="s">
        <v>3248</v>
      </c>
      <c r="E1428" s="3">
        <v>1</v>
      </c>
      <c r="F1428" s="3" t="s">
        <v>3224</v>
      </c>
      <c r="G1428" s="9">
        <v>1331.467218</v>
      </c>
      <c r="H1428" s="66">
        <v>39278.282931000002</v>
      </c>
      <c r="I1428" s="9">
        <v>1809.38069231949</v>
      </c>
      <c r="J1428" s="10">
        <v>1.358937469776661</v>
      </c>
      <c r="K1428" s="66">
        <v>25241.138228318337</v>
      </c>
      <c r="L1428" s="69">
        <v>64519.421159318343</v>
      </c>
      <c r="M1428" s="64">
        <v>2592012.5551831904</v>
      </c>
      <c r="N1428" s="67">
        <v>51955.081619348486</v>
      </c>
      <c r="O1428" s="64">
        <f t="shared" si="44"/>
        <v>116474.50277866682</v>
      </c>
      <c r="P1428" s="64">
        <f t="shared" si="45"/>
        <v>87.478310546483783</v>
      </c>
    </row>
    <row r="1429" spans="1:16" ht="15">
      <c r="A1429" s="3" t="str">
        <f>"058040"</f>
        <v>058040</v>
      </c>
      <c r="B1429" s="3" t="s">
        <v>2820</v>
      </c>
      <c r="C1429" s="61" t="s">
        <v>3352</v>
      </c>
      <c r="D1429" s="3" t="s">
        <v>3249</v>
      </c>
      <c r="E1429" s="3">
        <v>1</v>
      </c>
      <c r="F1429" s="3" t="s">
        <v>3220</v>
      </c>
      <c r="G1429" s="9">
        <v>185</v>
      </c>
      <c r="H1429" s="66">
        <v>5457.5</v>
      </c>
      <c r="I1429" s="9">
        <v>203.79840000000002</v>
      </c>
      <c r="J1429" s="10">
        <v>1.1016129729729731</v>
      </c>
      <c r="K1429" s="66">
        <v>992.84292736642203</v>
      </c>
      <c r="L1429" s="69">
        <v>6450.3429273664224</v>
      </c>
      <c r="M1429" s="64">
        <v>0</v>
      </c>
      <c r="N1429" s="67">
        <v>0</v>
      </c>
      <c r="O1429" s="64">
        <f t="shared" si="44"/>
        <v>6450.3429273664224</v>
      </c>
      <c r="P1429" s="64">
        <f t="shared" si="45"/>
        <v>34.866718526304986</v>
      </c>
    </row>
    <row r="1430" spans="1:16" ht="15">
      <c r="A1430" s="3" t="str">
        <f>"053363"</f>
        <v>053363</v>
      </c>
      <c r="B1430" s="3" t="s">
        <v>2877</v>
      </c>
      <c r="C1430" s="61" t="s">
        <v>3352</v>
      </c>
      <c r="D1430" s="3" t="s">
        <v>3249</v>
      </c>
      <c r="E1430" s="3">
        <v>1</v>
      </c>
      <c r="F1430" s="3" t="s">
        <v>3220</v>
      </c>
      <c r="G1430" s="9">
        <v>144</v>
      </c>
      <c r="H1430" s="66">
        <v>4248</v>
      </c>
      <c r="I1430" s="9">
        <v>167.67240000000001</v>
      </c>
      <c r="J1430" s="10">
        <v>1.1643916666666667</v>
      </c>
      <c r="K1430" s="66">
        <v>1250.2646455969061</v>
      </c>
      <c r="L1430" s="69">
        <v>5498.2646455969061</v>
      </c>
      <c r="M1430" s="64">
        <v>0</v>
      </c>
      <c r="N1430" s="67">
        <v>0</v>
      </c>
      <c r="O1430" s="64">
        <f t="shared" si="44"/>
        <v>5498.2646455969061</v>
      </c>
      <c r="P1430" s="64">
        <f t="shared" si="45"/>
        <v>38.182393372200735</v>
      </c>
    </row>
    <row r="1431" spans="1:16" ht="15">
      <c r="A1431" s="3" t="s">
        <v>759</v>
      </c>
      <c r="B1431" s="3" t="s">
        <v>760</v>
      </c>
      <c r="C1431" s="61" t="s">
        <v>3352</v>
      </c>
      <c r="D1431" s="3" t="s">
        <v>3248</v>
      </c>
      <c r="E1431" s="3">
        <v>1</v>
      </c>
      <c r="F1431" s="3" t="s">
        <v>1905</v>
      </c>
      <c r="G1431" s="9">
        <v>1669.357497</v>
      </c>
      <c r="H1431" s="66">
        <v>49246.046161500002</v>
      </c>
      <c r="I1431" s="9">
        <v>2537.9267005624001</v>
      </c>
      <c r="J1431" s="10">
        <v>1.5203014963081931</v>
      </c>
      <c r="K1431" s="66">
        <v>45873.733439293472</v>
      </c>
      <c r="L1431" s="69">
        <v>95119.779600793467</v>
      </c>
      <c r="M1431" s="64">
        <v>467017.79843520367</v>
      </c>
      <c r="N1431" s="67">
        <v>9361.0456426491328</v>
      </c>
      <c r="O1431" s="64">
        <f t="shared" si="44"/>
        <v>104480.8252434426</v>
      </c>
      <c r="P1431" s="64">
        <f t="shared" si="45"/>
        <v>62.587447824210777</v>
      </c>
    </row>
    <row r="1432" spans="1:16" ht="15">
      <c r="A1432" s="3" t="str">
        <f>"015331"</f>
        <v>015331</v>
      </c>
      <c r="B1432" s="3" t="s">
        <v>2929</v>
      </c>
      <c r="C1432" s="61" t="s">
        <v>3352</v>
      </c>
      <c r="D1432" s="3" t="s">
        <v>3249</v>
      </c>
      <c r="E1432" s="3">
        <v>1</v>
      </c>
      <c r="F1432" s="3" t="s">
        <v>3220</v>
      </c>
      <c r="G1432" s="9">
        <v>135</v>
      </c>
      <c r="H1432" s="66">
        <v>3982.5</v>
      </c>
      <c r="I1432" s="9">
        <v>186.59360000000001</v>
      </c>
      <c r="J1432" s="10">
        <v>1.382174814814815</v>
      </c>
      <c r="K1432" s="66">
        <v>2724.9308907870986</v>
      </c>
      <c r="L1432" s="69">
        <v>6707.4308907870982</v>
      </c>
      <c r="M1432" s="64">
        <v>0</v>
      </c>
      <c r="N1432" s="67">
        <v>0</v>
      </c>
      <c r="O1432" s="64">
        <f t="shared" si="44"/>
        <v>6707.4308907870982</v>
      </c>
      <c r="P1432" s="64">
        <f t="shared" si="45"/>
        <v>49.684673265089614</v>
      </c>
    </row>
    <row r="1433" spans="1:16" ht="15">
      <c r="A1433" s="19">
        <v>78063</v>
      </c>
      <c r="B1433" s="20" t="s">
        <v>1913</v>
      </c>
      <c r="C1433" s="61" t="s">
        <v>3352</v>
      </c>
      <c r="D1433" s="19" t="s">
        <v>1973</v>
      </c>
      <c r="E1433" s="19">
        <v>1</v>
      </c>
      <c r="F1433" s="19" t="s">
        <v>1974</v>
      </c>
      <c r="G1433" s="9">
        <v>69.25</v>
      </c>
      <c r="H1433" s="66">
        <v>2042.875</v>
      </c>
      <c r="I1433" s="9">
        <v>339.31212099999999</v>
      </c>
      <c r="J1433" s="10">
        <v>4.8998140216606494</v>
      </c>
      <c r="K1433" s="66">
        <v>14263.408948869301</v>
      </c>
      <c r="L1433" s="69">
        <v>16306.283948869301</v>
      </c>
      <c r="M1433" s="64">
        <v>0</v>
      </c>
      <c r="N1433" s="67">
        <v>0</v>
      </c>
      <c r="O1433" s="64">
        <f t="shared" si="44"/>
        <v>16306.283948869301</v>
      </c>
      <c r="P1433" s="64">
        <f t="shared" si="45"/>
        <v>235.46980431580218</v>
      </c>
    </row>
    <row r="1434" spans="1:16" ht="15">
      <c r="A1434" s="3" t="s">
        <v>509</v>
      </c>
      <c r="B1434" s="3" t="s">
        <v>510</v>
      </c>
      <c r="C1434" s="61" t="s">
        <v>3352</v>
      </c>
      <c r="D1434" s="3" t="s">
        <v>456</v>
      </c>
      <c r="E1434" s="3">
        <v>1</v>
      </c>
      <c r="F1434" s="3" t="s">
        <v>1897</v>
      </c>
      <c r="G1434" s="9">
        <v>575.41574000000003</v>
      </c>
      <c r="H1434" s="66">
        <v>16974.764330000002</v>
      </c>
      <c r="I1434" s="9">
        <v>807.84613255363195</v>
      </c>
      <c r="J1434" s="10">
        <v>1.4039347143226077</v>
      </c>
      <c r="K1434" s="66">
        <v>12275.878338149754</v>
      </c>
      <c r="L1434" s="69">
        <v>29250.642668149754</v>
      </c>
      <c r="M1434" s="64">
        <v>0</v>
      </c>
      <c r="N1434" s="67">
        <v>0</v>
      </c>
      <c r="O1434" s="64">
        <f t="shared" si="44"/>
        <v>29250.642668149754</v>
      </c>
      <c r="P1434" s="64">
        <f t="shared" si="45"/>
        <v>50.833928644617458</v>
      </c>
    </row>
    <row r="1435" spans="1:16" ht="15">
      <c r="A1435" s="3" t="s">
        <v>435</v>
      </c>
      <c r="B1435" s="3" t="s">
        <v>436</v>
      </c>
      <c r="C1435" s="61" t="s">
        <v>3352</v>
      </c>
      <c r="D1435" s="3" t="s">
        <v>1684</v>
      </c>
      <c r="E1435" s="3">
        <v>1</v>
      </c>
      <c r="F1435" s="3" t="s">
        <v>3266</v>
      </c>
      <c r="G1435" s="9">
        <v>388.39015899999998</v>
      </c>
      <c r="H1435" s="66">
        <v>11457.509690499999</v>
      </c>
      <c r="I1435" s="9">
        <v>552.94850724190701</v>
      </c>
      <c r="J1435" s="10">
        <v>1.4236934032149537</v>
      </c>
      <c r="K1435" s="66">
        <v>8691.1967077558693</v>
      </c>
      <c r="L1435" s="69">
        <v>20148.706398255868</v>
      </c>
      <c r="M1435" s="64">
        <v>0</v>
      </c>
      <c r="N1435" s="67">
        <v>0</v>
      </c>
      <c r="O1435" s="64">
        <f t="shared" si="44"/>
        <v>20148.706398255868</v>
      </c>
      <c r="P1435" s="64">
        <f t="shared" si="45"/>
        <v>51.87748950728659</v>
      </c>
    </row>
    <row r="1436" spans="1:16" ht="15">
      <c r="A1436" s="3" t="s">
        <v>1499</v>
      </c>
      <c r="B1436" s="3" t="s">
        <v>1500</v>
      </c>
      <c r="C1436" s="61" t="s">
        <v>3352</v>
      </c>
      <c r="D1436" s="3" t="s">
        <v>3248</v>
      </c>
      <c r="E1436" s="3">
        <v>1</v>
      </c>
      <c r="F1436" s="3" t="s">
        <v>3224</v>
      </c>
      <c r="G1436" s="9">
        <v>1047.350639</v>
      </c>
      <c r="H1436" s="66">
        <v>30896.843850500001</v>
      </c>
      <c r="I1436" s="9">
        <v>1284.01507278604</v>
      </c>
      <c r="J1436" s="10">
        <v>1.2259648535775993</v>
      </c>
      <c r="K1436" s="66">
        <v>12499.500449168469</v>
      </c>
      <c r="L1436" s="69">
        <v>43396.344299668468</v>
      </c>
      <c r="M1436" s="64">
        <v>1124493.2864960122</v>
      </c>
      <c r="N1436" s="67">
        <v>22539.682673790401</v>
      </c>
      <c r="O1436" s="64">
        <f t="shared" si="44"/>
        <v>65936.026973458866</v>
      </c>
      <c r="P1436" s="64">
        <f t="shared" si="45"/>
        <v>62.955064443760619</v>
      </c>
    </row>
    <row r="1437" spans="1:16" ht="15">
      <c r="A1437" s="3" t="s">
        <v>1501</v>
      </c>
      <c r="B1437" s="3" t="s">
        <v>1502</v>
      </c>
      <c r="C1437" s="61" t="s">
        <v>3352</v>
      </c>
      <c r="D1437" s="3" t="s">
        <v>3248</v>
      </c>
      <c r="E1437" s="3">
        <v>1</v>
      </c>
      <c r="F1437" s="3" t="s">
        <v>3224</v>
      </c>
      <c r="G1437" s="9">
        <v>1433.554922</v>
      </c>
      <c r="H1437" s="66">
        <v>42289.870199000005</v>
      </c>
      <c r="I1437" s="9">
        <v>1961.31949974892</v>
      </c>
      <c r="J1437" s="10">
        <v>1.3681509300059589</v>
      </c>
      <c r="K1437" s="66">
        <v>27874.038659276368</v>
      </c>
      <c r="L1437" s="69">
        <v>70163.90885827638</v>
      </c>
      <c r="M1437" s="64">
        <v>1455926.8942390741</v>
      </c>
      <c r="N1437" s="67">
        <v>29183.037894910816</v>
      </c>
      <c r="O1437" s="64">
        <f t="shared" si="44"/>
        <v>99346.946753187192</v>
      </c>
      <c r="P1437" s="64">
        <f t="shared" si="45"/>
        <v>69.30110959026598</v>
      </c>
    </row>
    <row r="1438" spans="1:16" ht="15">
      <c r="A1438" s="3" t="s">
        <v>1503</v>
      </c>
      <c r="B1438" s="3" t="s">
        <v>1504</v>
      </c>
      <c r="C1438" s="61" t="s">
        <v>3352</v>
      </c>
      <c r="D1438" s="3" t="s">
        <v>3248</v>
      </c>
      <c r="E1438" s="3">
        <v>1</v>
      </c>
      <c r="F1438" s="3" t="s">
        <v>1904</v>
      </c>
      <c r="G1438" s="9">
        <v>1576.687985</v>
      </c>
      <c r="H1438" s="66">
        <v>46512.295557500001</v>
      </c>
      <c r="I1438" s="9">
        <v>1863.74534116427</v>
      </c>
      <c r="J1438" s="10">
        <v>1.1820635147189695</v>
      </c>
      <c r="K1438" s="66">
        <v>15161.017204453528</v>
      </c>
      <c r="L1438" s="69">
        <v>61673.31276195353</v>
      </c>
      <c r="M1438" s="64">
        <v>599192.65256121778</v>
      </c>
      <c r="N1438" s="67">
        <v>12010.398293511274</v>
      </c>
      <c r="O1438" s="64">
        <f t="shared" si="44"/>
        <v>73683.71105546481</v>
      </c>
      <c r="P1438" s="64">
        <f t="shared" si="45"/>
        <v>46.733222905522936</v>
      </c>
    </row>
    <row r="1439" spans="1:16" ht="15">
      <c r="A1439" s="3" t="s">
        <v>32</v>
      </c>
      <c r="B1439" s="3" t="s">
        <v>33</v>
      </c>
      <c r="C1439" s="61" t="s">
        <v>3322</v>
      </c>
      <c r="D1439" s="3" t="s">
        <v>1684</v>
      </c>
      <c r="E1439" s="3">
        <v>1</v>
      </c>
      <c r="F1439" s="3" t="s">
        <v>3266</v>
      </c>
      <c r="G1439" s="9">
        <v>138.51872700000001</v>
      </c>
      <c r="H1439" s="66">
        <v>4086.3024465000003</v>
      </c>
      <c r="I1439" s="9">
        <v>204.896096187463</v>
      </c>
      <c r="J1439" s="10">
        <v>1.4791941900206964</v>
      </c>
      <c r="K1439" s="66">
        <v>3505.7399318539051</v>
      </c>
      <c r="L1439" s="69">
        <v>7592.0423783539054</v>
      </c>
      <c r="M1439" s="64">
        <v>0</v>
      </c>
      <c r="N1439" s="67">
        <v>0</v>
      </c>
      <c r="O1439" s="64">
        <f t="shared" si="44"/>
        <v>7592.0423783539054</v>
      </c>
      <c r="P1439" s="64">
        <f t="shared" si="45"/>
        <v>54.808779598110981</v>
      </c>
    </row>
    <row r="1440" spans="1:16" ht="15">
      <c r="A1440" s="3" t="str">
        <f>"052779"</f>
        <v>052779</v>
      </c>
      <c r="B1440" s="3" t="s">
        <v>2920</v>
      </c>
      <c r="C1440" s="61" t="s">
        <v>3322</v>
      </c>
      <c r="D1440" s="3" t="s">
        <v>3249</v>
      </c>
      <c r="E1440" s="3">
        <v>1</v>
      </c>
      <c r="F1440" s="3" t="s">
        <v>3220</v>
      </c>
      <c r="G1440" s="9">
        <v>428</v>
      </c>
      <c r="H1440" s="66">
        <v>12626</v>
      </c>
      <c r="I1440" s="9">
        <v>468.34559999999999</v>
      </c>
      <c r="J1440" s="10">
        <v>1.0942654205607476</v>
      </c>
      <c r="K1440" s="66">
        <v>2130.8645209355409</v>
      </c>
      <c r="L1440" s="69">
        <v>14756.864520935542</v>
      </c>
      <c r="M1440" s="64">
        <v>0</v>
      </c>
      <c r="N1440" s="67">
        <v>0</v>
      </c>
      <c r="O1440" s="64">
        <f t="shared" si="44"/>
        <v>14756.864520935542</v>
      </c>
      <c r="P1440" s="64">
        <f t="shared" si="45"/>
        <v>34.478655422746591</v>
      </c>
    </row>
    <row r="1441" spans="1:16" ht="15">
      <c r="A1441" s="3" t="s">
        <v>637</v>
      </c>
      <c r="B1441" s="3" t="s">
        <v>638</v>
      </c>
      <c r="C1441" s="61" t="s">
        <v>3322</v>
      </c>
      <c r="D1441" s="3" t="s">
        <v>3248</v>
      </c>
      <c r="E1441" s="3">
        <v>1</v>
      </c>
      <c r="F1441" s="3" t="s">
        <v>1905</v>
      </c>
      <c r="G1441" s="9">
        <v>1811.683779</v>
      </c>
      <c r="H1441" s="66">
        <v>53444.671480500001</v>
      </c>
      <c r="I1441" s="9">
        <v>2373.80101097533</v>
      </c>
      <c r="J1441" s="10">
        <v>1.3102733702708336</v>
      </c>
      <c r="K1441" s="66">
        <v>29688.38401765556</v>
      </c>
      <c r="L1441" s="69">
        <v>83133.055498155562</v>
      </c>
      <c r="M1441" s="64">
        <v>820585.51374253898</v>
      </c>
      <c r="N1441" s="67">
        <v>16448.063593247334</v>
      </c>
      <c r="O1441" s="64">
        <f t="shared" si="44"/>
        <v>99581.119091402899</v>
      </c>
      <c r="P1441" s="64">
        <f t="shared" si="45"/>
        <v>54.966059886217536</v>
      </c>
    </row>
    <row r="1442" spans="1:16" ht="15">
      <c r="A1442" s="3" t="s">
        <v>1507</v>
      </c>
      <c r="B1442" s="3" t="s">
        <v>1508</v>
      </c>
      <c r="C1442" s="61" t="s">
        <v>3322</v>
      </c>
      <c r="D1442" s="3" t="s">
        <v>3248</v>
      </c>
      <c r="E1442" s="3">
        <v>1</v>
      </c>
      <c r="F1442" s="3" t="s">
        <v>1904</v>
      </c>
      <c r="G1442" s="9">
        <v>789.52959599999997</v>
      </c>
      <c r="H1442" s="66">
        <v>23291.123081999998</v>
      </c>
      <c r="I1442" s="9">
        <v>899.07124168771804</v>
      </c>
      <c r="J1442" s="10">
        <v>1.1387429252084909</v>
      </c>
      <c r="K1442" s="66">
        <v>5785.4736665423288</v>
      </c>
      <c r="L1442" s="69">
        <v>29076.596748542328</v>
      </c>
      <c r="M1442" s="64">
        <v>484201.20678385708</v>
      </c>
      <c r="N1442" s="67">
        <v>9705.4750635127148</v>
      </c>
      <c r="O1442" s="64">
        <f t="shared" si="44"/>
        <v>38782.071812055045</v>
      </c>
      <c r="P1442" s="64">
        <f t="shared" si="45"/>
        <v>49.120478837699004</v>
      </c>
    </row>
    <row r="1443" spans="1:16" ht="15">
      <c r="A1443" s="3" t="s">
        <v>1509</v>
      </c>
      <c r="B1443" s="3" t="s">
        <v>1510</v>
      </c>
      <c r="C1443" s="61" t="s">
        <v>3322</v>
      </c>
      <c r="D1443" s="3" t="s">
        <v>3248</v>
      </c>
      <c r="E1443" s="3">
        <v>1</v>
      </c>
      <c r="F1443" s="3" t="s">
        <v>3224</v>
      </c>
      <c r="G1443" s="9">
        <v>391.67575699999998</v>
      </c>
      <c r="H1443" s="66">
        <v>11554.434831499999</v>
      </c>
      <c r="I1443" s="9">
        <v>438.62438335706003</v>
      </c>
      <c r="J1443" s="10">
        <v>1.1198660512375291</v>
      </c>
      <c r="K1443" s="66">
        <v>2479.6052657766522</v>
      </c>
      <c r="L1443" s="69">
        <v>14034.040097276651</v>
      </c>
      <c r="M1443" s="64">
        <v>302228.60066444468</v>
      </c>
      <c r="N1443" s="67">
        <v>6057.9612486147635</v>
      </c>
      <c r="O1443" s="64">
        <f t="shared" si="44"/>
        <v>20092.001345891415</v>
      </c>
      <c r="P1443" s="64">
        <f t="shared" si="45"/>
        <v>51.297536257500397</v>
      </c>
    </row>
    <row r="1444" spans="1:16" ht="15">
      <c r="A1444" s="3" t="s">
        <v>244</v>
      </c>
      <c r="B1444" s="3" t="s">
        <v>1798</v>
      </c>
      <c r="C1444" s="61" t="s">
        <v>3322</v>
      </c>
      <c r="D1444" s="3" t="s">
        <v>1684</v>
      </c>
      <c r="E1444" s="3">
        <v>1</v>
      </c>
      <c r="F1444" s="3" t="s">
        <v>3266</v>
      </c>
      <c r="G1444" s="9">
        <v>91.406790999999998</v>
      </c>
      <c r="H1444" s="66">
        <v>2696.5003345</v>
      </c>
      <c r="I1444" s="9">
        <v>169.78746810912699</v>
      </c>
      <c r="J1444" s="10">
        <v>1.8574929307946824</v>
      </c>
      <c r="K1444" s="66">
        <v>4139.698107817042</v>
      </c>
      <c r="L1444" s="69">
        <v>6836.1984423170416</v>
      </c>
      <c r="M1444" s="64">
        <v>0</v>
      </c>
      <c r="N1444" s="67">
        <v>0</v>
      </c>
      <c r="O1444" s="64">
        <f t="shared" si="44"/>
        <v>6836.1984423170416</v>
      </c>
      <c r="P1444" s="64">
        <f t="shared" si="45"/>
        <v>74.788736892831537</v>
      </c>
    </row>
    <row r="1445" spans="1:16" ht="15">
      <c r="A1445" s="3" t="s">
        <v>1511</v>
      </c>
      <c r="B1445" s="3" t="s">
        <v>1512</v>
      </c>
      <c r="C1445" s="61" t="s">
        <v>3322</v>
      </c>
      <c r="D1445" s="3" t="s">
        <v>3248</v>
      </c>
      <c r="E1445" s="3">
        <v>1</v>
      </c>
      <c r="F1445" s="3" t="s">
        <v>3224</v>
      </c>
      <c r="G1445" s="9">
        <v>615.88950799999998</v>
      </c>
      <c r="H1445" s="66">
        <v>18168.740485999999</v>
      </c>
      <c r="I1445" s="9">
        <v>724.40878438087896</v>
      </c>
      <c r="J1445" s="10">
        <v>1.1761992613468566</v>
      </c>
      <c r="K1445" s="66">
        <v>5731.4769362114657</v>
      </c>
      <c r="L1445" s="69">
        <v>23900.217422211463</v>
      </c>
      <c r="M1445" s="64">
        <v>612563.02546488412</v>
      </c>
      <c r="N1445" s="67">
        <v>12278.398081591784</v>
      </c>
      <c r="O1445" s="64">
        <f t="shared" si="44"/>
        <v>36178.615503803245</v>
      </c>
      <c r="P1445" s="64">
        <f t="shared" si="45"/>
        <v>58.742055245083421</v>
      </c>
    </row>
    <row r="1446" spans="1:16" ht="15">
      <c r="A1446" s="19">
        <v>66241</v>
      </c>
      <c r="B1446" s="20" t="s">
        <v>1935</v>
      </c>
      <c r="C1446" s="61" t="s">
        <v>3322</v>
      </c>
      <c r="D1446" s="19" t="s">
        <v>1973</v>
      </c>
      <c r="E1446" s="19">
        <v>1</v>
      </c>
      <c r="F1446" s="19" t="s">
        <v>1974</v>
      </c>
      <c r="G1446" s="9">
        <v>50.55</v>
      </c>
      <c r="H1446" s="66">
        <v>1491.2249999999999</v>
      </c>
      <c r="I1446" s="9">
        <v>227.60420999999999</v>
      </c>
      <c r="J1446" s="10">
        <v>4.5025560830860538</v>
      </c>
      <c r="K1446" s="66">
        <v>9351.1692569021343</v>
      </c>
      <c r="L1446" s="69">
        <v>10842.394256902135</v>
      </c>
      <c r="M1446" s="64">
        <v>0</v>
      </c>
      <c r="N1446" s="67">
        <v>0</v>
      </c>
      <c r="O1446" s="64">
        <f t="shared" si="44"/>
        <v>10842.394256902135</v>
      </c>
      <c r="P1446" s="64">
        <f t="shared" si="45"/>
        <v>214.48851151141713</v>
      </c>
    </row>
    <row r="1447" spans="1:16" ht="15">
      <c r="A1447" s="3" t="s">
        <v>1505</v>
      </c>
      <c r="B1447" s="3" t="s">
        <v>1506</v>
      </c>
      <c r="C1447" s="61" t="s">
        <v>3322</v>
      </c>
      <c r="D1447" s="3" t="s">
        <v>3248</v>
      </c>
      <c r="E1447" s="3">
        <v>1</v>
      </c>
      <c r="F1447" s="3" t="s">
        <v>3224</v>
      </c>
      <c r="G1447" s="9">
        <v>861.84511399999997</v>
      </c>
      <c r="H1447" s="66">
        <v>25424.430862999998</v>
      </c>
      <c r="I1447" s="9">
        <v>994.08291920765203</v>
      </c>
      <c r="J1447" s="10">
        <v>1.1534356963444501</v>
      </c>
      <c r="K1447" s="66">
        <v>6984.1778891222575</v>
      </c>
      <c r="L1447" s="69">
        <v>32408.608752122254</v>
      </c>
      <c r="M1447" s="64">
        <v>1024555.5589093979</v>
      </c>
      <c r="N1447" s="67">
        <v>20536.500712641373</v>
      </c>
      <c r="O1447" s="64">
        <f t="shared" si="44"/>
        <v>52945.109464763627</v>
      </c>
      <c r="P1447" s="64">
        <f t="shared" si="45"/>
        <v>61.432278961395411</v>
      </c>
    </row>
    <row r="1448" spans="1:16" ht="15">
      <c r="A1448" s="3" t="s">
        <v>802</v>
      </c>
      <c r="B1448" s="3" t="s">
        <v>803</v>
      </c>
      <c r="C1448" s="61" t="s">
        <v>3322</v>
      </c>
      <c r="D1448" s="3" t="s">
        <v>3248</v>
      </c>
      <c r="E1448" s="3">
        <v>1</v>
      </c>
      <c r="F1448" s="3" t="s">
        <v>1905</v>
      </c>
      <c r="G1448" s="9">
        <v>2547.7794060000001</v>
      </c>
      <c r="H1448" s="66">
        <v>75159.492477000007</v>
      </c>
      <c r="I1448" s="9">
        <v>3080.5523976803302</v>
      </c>
      <c r="J1448" s="10">
        <v>1.2091126847268072</v>
      </c>
      <c r="K1448" s="66">
        <v>28138.5594881301</v>
      </c>
      <c r="L1448" s="69">
        <v>103298.05196513011</v>
      </c>
      <c r="M1448" s="64">
        <v>682023.62974169722</v>
      </c>
      <c r="N1448" s="67">
        <v>13670.687388722876</v>
      </c>
      <c r="O1448" s="64">
        <f t="shared" si="44"/>
        <v>116968.73935385299</v>
      </c>
      <c r="P1448" s="64">
        <f t="shared" si="45"/>
        <v>45.910073328323691</v>
      </c>
    </row>
    <row r="1449" spans="1:16" ht="15">
      <c r="A1449" s="3" t="s">
        <v>1513</v>
      </c>
      <c r="B1449" s="3" t="s">
        <v>1514</v>
      </c>
      <c r="C1449" s="61" t="s">
        <v>3312</v>
      </c>
      <c r="D1449" s="3" t="s">
        <v>3248</v>
      </c>
      <c r="E1449" s="3">
        <v>1</v>
      </c>
      <c r="F1449" s="3" t="s">
        <v>1904</v>
      </c>
      <c r="G1449" s="9">
        <v>1146.387262</v>
      </c>
      <c r="H1449" s="66">
        <v>33818.424228999997</v>
      </c>
      <c r="I1449" s="9">
        <v>1292.79966670811</v>
      </c>
      <c r="J1449" s="10">
        <v>1.1277163569077673</v>
      </c>
      <c r="K1449" s="66">
        <v>7732.8134571642859</v>
      </c>
      <c r="L1449" s="69">
        <v>41551.237686164284</v>
      </c>
      <c r="M1449" s="64">
        <v>603008.08307122672</v>
      </c>
      <c r="N1449" s="67">
        <v>12086.875933700197</v>
      </c>
      <c r="O1449" s="64">
        <f t="shared" si="44"/>
        <v>53638.113619864482</v>
      </c>
      <c r="P1449" s="64">
        <f t="shared" si="45"/>
        <v>46.788825554714236</v>
      </c>
    </row>
    <row r="1450" spans="1:16" ht="15">
      <c r="A1450" s="3" t="s">
        <v>1515</v>
      </c>
      <c r="B1450" s="3" t="s">
        <v>1516</v>
      </c>
      <c r="C1450" s="61" t="s">
        <v>3312</v>
      </c>
      <c r="D1450" s="3" t="s">
        <v>3248</v>
      </c>
      <c r="E1450" s="3">
        <v>1</v>
      </c>
      <c r="F1450" s="3" t="s">
        <v>3224</v>
      </c>
      <c r="G1450" s="9">
        <v>599.617569</v>
      </c>
      <c r="H1450" s="66">
        <v>17688.718285499999</v>
      </c>
      <c r="I1450" s="9">
        <v>679.01386475114202</v>
      </c>
      <c r="J1450" s="10">
        <v>1.1324115567253201</v>
      </c>
      <c r="K1450" s="66">
        <v>4193.3382998347724</v>
      </c>
      <c r="L1450" s="69">
        <v>21882.056585334773</v>
      </c>
      <c r="M1450" s="64">
        <v>447125.16150539852</v>
      </c>
      <c r="N1450" s="67">
        <v>8962.3116267797341</v>
      </c>
      <c r="O1450" s="64">
        <f t="shared" si="44"/>
        <v>30844.368212114507</v>
      </c>
      <c r="P1450" s="64">
        <f t="shared" si="45"/>
        <v>51.440067480935511</v>
      </c>
    </row>
    <row r="1451" spans="1:16" ht="15">
      <c r="A1451" s="3" t="str">
        <f>"113522"</f>
        <v>113522</v>
      </c>
      <c r="B1451" s="3" t="s">
        <v>2803</v>
      </c>
      <c r="C1451" s="61" t="s">
        <v>3312</v>
      </c>
      <c r="D1451" s="3" t="s">
        <v>3249</v>
      </c>
      <c r="E1451" s="3">
        <v>1</v>
      </c>
      <c r="F1451" s="3" t="s">
        <v>3220</v>
      </c>
      <c r="G1451" s="9">
        <v>151</v>
      </c>
      <c r="H1451" s="66">
        <v>4454.5</v>
      </c>
      <c r="I1451" s="9">
        <v>162.06100000000001</v>
      </c>
      <c r="J1451" s="10">
        <v>1.0732516556291392</v>
      </c>
      <c r="K1451" s="66">
        <v>584.18991082219725</v>
      </c>
      <c r="L1451" s="69">
        <v>5038.6899108221969</v>
      </c>
      <c r="M1451" s="64">
        <v>0</v>
      </c>
      <c r="N1451" s="67">
        <v>0</v>
      </c>
      <c r="O1451" s="64">
        <f t="shared" si="44"/>
        <v>5038.6899108221969</v>
      </c>
      <c r="P1451" s="64">
        <f t="shared" si="45"/>
        <v>33.368807356438388</v>
      </c>
    </row>
    <row r="1452" spans="1:16" ht="15">
      <c r="A1452" s="3" t="s">
        <v>1517</v>
      </c>
      <c r="B1452" s="3" t="s">
        <v>1518</v>
      </c>
      <c r="C1452" s="61" t="s">
        <v>3312</v>
      </c>
      <c r="D1452" s="3" t="s">
        <v>3248</v>
      </c>
      <c r="E1452" s="3">
        <v>1</v>
      </c>
      <c r="F1452" s="3" t="s">
        <v>3224</v>
      </c>
      <c r="G1452" s="9">
        <v>573.17104700000004</v>
      </c>
      <c r="H1452" s="66">
        <v>16908.5458865</v>
      </c>
      <c r="I1452" s="9">
        <v>645.25674440210003</v>
      </c>
      <c r="J1452" s="10">
        <v>1.1257664667107652</v>
      </c>
      <c r="K1452" s="66">
        <v>3807.2269358004387</v>
      </c>
      <c r="L1452" s="69">
        <v>20715.772822300438</v>
      </c>
      <c r="M1452" s="64">
        <v>597387.78189355938</v>
      </c>
      <c r="N1452" s="67">
        <v>11974.220921351931</v>
      </c>
      <c r="O1452" s="64">
        <f t="shared" si="44"/>
        <v>32689.993743652369</v>
      </c>
      <c r="P1452" s="64">
        <f t="shared" si="45"/>
        <v>57.033574732626654</v>
      </c>
    </row>
    <row r="1453" spans="1:16" ht="15">
      <c r="A1453" s="3" t="s">
        <v>1519</v>
      </c>
      <c r="B1453" s="3" t="s">
        <v>1520</v>
      </c>
      <c r="C1453" s="61" t="s">
        <v>3312</v>
      </c>
      <c r="D1453" s="3" t="s">
        <v>3248</v>
      </c>
      <c r="E1453" s="3">
        <v>1</v>
      </c>
      <c r="F1453" s="3" t="s">
        <v>3224</v>
      </c>
      <c r="G1453" s="9">
        <v>717.93083899999999</v>
      </c>
      <c r="H1453" s="66">
        <v>21178.959750499998</v>
      </c>
      <c r="I1453" s="9">
        <v>790.73731535185902</v>
      </c>
      <c r="J1453" s="10">
        <v>1.101411546066569</v>
      </c>
      <c r="K1453" s="66">
        <v>3845.2950842845048</v>
      </c>
      <c r="L1453" s="69">
        <v>25024.254834784504</v>
      </c>
      <c r="M1453" s="64">
        <v>446729.52724079246</v>
      </c>
      <c r="N1453" s="67">
        <v>8954.3814142242773</v>
      </c>
      <c r="O1453" s="64">
        <f t="shared" si="44"/>
        <v>33978.636249008778</v>
      </c>
      <c r="P1453" s="64">
        <f t="shared" si="45"/>
        <v>47.328564818774666</v>
      </c>
    </row>
    <row r="1454" spans="1:16" ht="15">
      <c r="A1454" s="3" t="s">
        <v>1521</v>
      </c>
      <c r="B1454" s="3" t="s">
        <v>1522</v>
      </c>
      <c r="C1454" s="61" t="s">
        <v>3312</v>
      </c>
      <c r="D1454" s="3" t="s">
        <v>3248</v>
      </c>
      <c r="E1454" s="3">
        <v>1</v>
      </c>
      <c r="F1454" s="3" t="s">
        <v>3223</v>
      </c>
      <c r="G1454" s="9">
        <v>789.06517099999996</v>
      </c>
      <c r="H1454" s="66">
        <v>23277.422544499997</v>
      </c>
      <c r="I1454" s="9">
        <v>926.34910534181404</v>
      </c>
      <c r="J1454" s="10">
        <v>1.1739830110202825</v>
      </c>
      <c r="K1454" s="66">
        <v>7250.6906573062734</v>
      </c>
      <c r="L1454" s="69">
        <v>30528.113201806271</v>
      </c>
      <c r="M1454" s="64">
        <v>823178.32770502672</v>
      </c>
      <c r="N1454" s="67">
        <v>16500.034738516464</v>
      </c>
      <c r="O1454" s="64">
        <f t="shared" si="44"/>
        <v>47028.147940322735</v>
      </c>
      <c r="P1454" s="64">
        <f t="shared" si="45"/>
        <v>59.59982732569847</v>
      </c>
    </row>
    <row r="1455" spans="1:16" ht="15">
      <c r="A1455" s="3" t="str">
        <f>"054346"</f>
        <v>054346</v>
      </c>
      <c r="B1455" s="3" t="s">
        <v>2871</v>
      </c>
      <c r="C1455" s="61" t="s">
        <v>3312</v>
      </c>
      <c r="D1455" s="3" t="s">
        <v>3249</v>
      </c>
      <c r="E1455" s="3">
        <v>1</v>
      </c>
      <c r="F1455" s="3" t="s">
        <v>3220</v>
      </c>
      <c r="G1455" s="9">
        <v>183</v>
      </c>
      <c r="H1455" s="66">
        <v>5398.5</v>
      </c>
      <c r="I1455" s="9">
        <v>205.69759999999999</v>
      </c>
      <c r="J1455" s="10">
        <v>1.1240306010928962</v>
      </c>
      <c r="K1455" s="66">
        <v>1198.7803019508083</v>
      </c>
      <c r="L1455" s="69">
        <v>6597.2803019508083</v>
      </c>
      <c r="M1455" s="64">
        <v>0</v>
      </c>
      <c r="N1455" s="67">
        <v>0</v>
      </c>
      <c r="O1455" s="64">
        <f t="shared" si="44"/>
        <v>6597.2803019508083</v>
      </c>
      <c r="P1455" s="64">
        <f t="shared" si="45"/>
        <v>36.050712032518078</v>
      </c>
    </row>
    <row r="1456" spans="1:16" ht="15">
      <c r="A1456" s="3" t="s">
        <v>1523</v>
      </c>
      <c r="B1456" s="3" t="s">
        <v>1524</v>
      </c>
      <c r="C1456" s="61" t="s">
        <v>3312</v>
      </c>
      <c r="D1456" s="3" t="s">
        <v>3248</v>
      </c>
      <c r="E1456" s="3">
        <v>1</v>
      </c>
      <c r="F1456" s="3" t="s">
        <v>3223</v>
      </c>
      <c r="G1456" s="9">
        <v>510.15649200000001</v>
      </c>
      <c r="H1456" s="66">
        <v>15049.616514000001</v>
      </c>
      <c r="I1456" s="9">
        <v>610.04995987619498</v>
      </c>
      <c r="J1456" s="10">
        <v>1.195809461297995</v>
      </c>
      <c r="K1456" s="66">
        <v>5275.9023678070989</v>
      </c>
      <c r="L1456" s="69">
        <v>20325.5188818071</v>
      </c>
      <c r="M1456" s="64">
        <v>328139.02544412081</v>
      </c>
      <c r="N1456" s="67">
        <v>6577.3176196046115</v>
      </c>
      <c r="O1456" s="64">
        <f t="shared" si="44"/>
        <v>26902.836501411712</v>
      </c>
      <c r="P1456" s="64">
        <f t="shared" si="45"/>
        <v>52.734478387097958</v>
      </c>
    </row>
    <row r="1457" spans="1:16" ht="15">
      <c r="A1457" s="3" t="str">
        <f>"053082"</f>
        <v>053082</v>
      </c>
      <c r="B1457" s="3" t="s">
        <v>2755</v>
      </c>
      <c r="C1457" s="61" t="s">
        <v>3312</v>
      </c>
      <c r="D1457" s="3" t="s">
        <v>3249</v>
      </c>
      <c r="E1457" s="3">
        <v>1</v>
      </c>
      <c r="F1457" s="3" t="s">
        <v>3220</v>
      </c>
      <c r="G1457" s="9">
        <v>163</v>
      </c>
      <c r="H1457" s="66">
        <v>4808.5</v>
      </c>
      <c r="I1457" s="9">
        <v>173.51140000000001</v>
      </c>
      <c r="J1457" s="10">
        <v>1.0644871165644172</v>
      </c>
      <c r="K1457" s="66">
        <v>555.16262802788583</v>
      </c>
      <c r="L1457" s="69">
        <v>5363.6626280278861</v>
      </c>
      <c r="M1457" s="64">
        <v>0</v>
      </c>
      <c r="N1457" s="67">
        <v>0</v>
      </c>
      <c r="O1457" s="64">
        <f t="shared" si="44"/>
        <v>5363.6626280278861</v>
      </c>
      <c r="P1457" s="64">
        <f t="shared" si="45"/>
        <v>32.905905693422611</v>
      </c>
    </row>
    <row r="1458" spans="1:16" ht="15">
      <c r="A1458" s="3" t="s">
        <v>1525</v>
      </c>
      <c r="B1458" s="3" t="s">
        <v>1526</v>
      </c>
      <c r="C1458" s="61" t="s">
        <v>3312</v>
      </c>
      <c r="D1458" s="3" t="s">
        <v>3248</v>
      </c>
      <c r="E1458" s="3">
        <v>1</v>
      </c>
      <c r="F1458" s="3" t="s">
        <v>3224</v>
      </c>
      <c r="G1458" s="9">
        <v>387.41898600000002</v>
      </c>
      <c r="H1458" s="66">
        <v>11428.860087000001</v>
      </c>
      <c r="I1458" s="9">
        <v>427.061035908755</v>
      </c>
      <c r="J1458" s="10">
        <v>1.1023234568807503</v>
      </c>
      <c r="K1458" s="66">
        <v>2093.7063195917772</v>
      </c>
      <c r="L1458" s="69">
        <v>13522.566406591777</v>
      </c>
      <c r="M1458" s="64">
        <v>251176.53556033521</v>
      </c>
      <c r="N1458" s="67">
        <v>5034.6582541843063</v>
      </c>
      <c r="O1458" s="64">
        <f t="shared" si="44"/>
        <v>18557.224660776083</v>
      </c>
      <c r="P1458" s="64">
        <f t="shared" si="45"/>
        <v>47.89962632542764</v>
      </c>
    </row>
    <row r="1459" spans="1:16" ht="15">
      <c r="A1459" s="3" t="s">
        <v>783</v>
      </c>
      <c r="B1459" s="3" t="s">
        <v>784</v>
      </c>
      <c r="C1459" s="61" t="s">
        <v>3312</v>
      </c>
      <c r="D1459" s="3" t="s">
        <v>3248</v>
      </c>
      <c r="E1459" s="3">
        <v>1</v>
      </c>
      <c r="F1459" s="3" t="s">
        <v>1905</v>
      </c>
      <c r="G1459" s="9">
        <v>3121.1998680000002</v>
      </c>
      <c r="H1459" s="66">
        <v>92075.396106</v>
      </c>
      <c r="I1459" s="9">
        <v>4038.84105496244</v>
      </c>
      <c r="J1459" s="10">
        <v>1.2940026995292824</v>
      </c>
      <c r="K1459" s="66">
        <v>48465.484420790403</v>
      </c>
      <c r="L1459" s="69">
        <v>140540.8805267904</v>
      </c>
      <c r="M1459" s="64">
        <v>762208.2831388996</v>
      </c>
      <c r="N1459" s="67">
        <v>15277.932771674497</v>
      </c>
      <c r="O1459" s="64">
        <f t="shared" si="44"/>
        <v>155818.8132984649</v>
      </c>
      <c r="P1459" s="64">
        <f t="shared" si="45"/>
        <v>49.922728401981622</v>
      </c>
    </row>
    <row r="1460" spans="1:16" ht="15">
      <c r="A1460" s="3" t="s">
        <v>547</v>
      </c>
      <c r="B1460" s="3" t="s">
        <v>548</v>
      </c>
      <c r="C1460" s="61" t="s">
        <v>3284</v>
      </c>
      <c r="D1460" s="3" t="s">
        <v>3248</v>
      </c>
      <c r="E1460" s="3">
        <v>1</v>
      </c>
      <c r="F1460" s="3" t="s">
        <v>1909</v>
      </c>
      <c r="G1460" s="9">
        <v>2994.6079850000001</v>
      </c>
      <c r="H1460" s="66">
        <v>88340.935557500008</v>
      </c>
      <c r="I1460" s="9">
        <v>4253.7616593786097</v>
      </c>
      <c r="J1460" s="10">
        <v>1.4204736248235876</v>
      </c>
      <c r="K1460" s="66">
        <v>66502.56511587392</v>
      </c>
      <c r="L1460" s="69">
        <v>154843.50067337393</v>
      </c>
      <c r="M1460" s="64">
        <v>1950680.4593619439</v>
      </c>
      <c r="N1460" s="67">
        <v>39100.027612426151</v>
      </c>
      <c r="O1460" s="64">
        <f t="shared" si="44"/>
        <v>193943.52828580007</v>
      </c>
      <c r="P1460" s="64">
        <f t="shared" si="45"/>
        <v>64.76424602394161</v>
      </c>
    </row>
    <row r="1461" spans="1:16" ht="15">
      <c r="A1461" s="3" t="s">
        <v>1709</v>
      </c>
      <c r="B1461" s="3" t="s">
        <v>1710</v>
      </c>
      <c r="C1461" s="61" t="s">
        <v>3284</v>
      </c>
      <c r="D1461" s="3" t="s">
        <v>1684</v>
      </c>
      <c r="E1461" s="3">
        <v>1</v>
      </c>
      <c r="F1461" s="3" t="s">
        <v>3266</v>
      </c>
      <c r="G1461" s="9">
        <v>178.33125000000001</v>
      </c>
      <c r="H1461" s="66">
        <v>5260.7718750000004</v>
      </c>
      <c r="I1461" s="9">
        <v>252.33589409356699</v>
      </c>
      <c r="J1461" s="10">
        <v>1.4149841606200089</v>
      </c>
      <c r="K1461" s="66">
        <v>3908.5766597458919</v>
      </c>
      <c r="L1461" s="69">
        <v>9169.3485347458918</v>
      </c>
      <c r="M1461" s="64">
        <v>0</v>
      </c>
      <c r="N1461" s="67">
        <v>0</v>
      </c>
      <c r="O1461" s="64">
        <f t="shared" si="44"/>
        <v>9169.3485347458918</v>
      </c>
      <c r="P1461" s="64">
        <f t="shared" si="45"/>
        <v>51.417508343298728</v>
      </c>
    </row>
    <row r="1462" spans="1:16" ht="15">
      <c r="A1462" s="3" t="s">
        <v>589</v>
      </c>
      <c r="B1462" s="3" t="s">
        <v>590</v>
      </c>
      <c r="C1462" s="61" t="s">
        <v>3284</v>
      </c>
      <c r="D1462" s="3" t="s">
        <v>3248</v>
      </c>
      <c r="E1462" s="3">
        <v>1</v>
      </c>
      <c r="F1462" s="3" t="s">
        <v>1908</v>
      </c>
      <c r="G1462" s="9">
        <v>8402.1879939999999</v>
      </c>
      <c r="H1462" s="66">
        <v>247864.54582299999</v>
      </c>
      <c r="I1462" s="9">
        <v>11762.489617613801</v>
      </c>
      <c r="J1462" s="10">
        <v>1.3999317351639111</v>
      </c>
      <c r="K1462" s="66">
        <v>177475.30113322753</v>
      </c>
      <c r="L1462" s="69">
        <v>425339.84695622756</v>
      </c>
      <c r="M1462" s="64">
        <v>5086528.7178057646</v>
      </c>
      <c r="N1462" s="67">
        <v>101955.91613331564</v>
      </c>
      <c r="O1462" s="64">
        <f t="shared" si="44"/>
        <v>527295.76308954321</v>
      </c>
      <c r="P1462" s="64">
        <f t="shared" si="45"/>
        <v>62.756958481062902</v>
      </c>
    </row>
    <row r="1463" spans="1:16" ht="15">
      <c r="A1463" s="3" t="s">
        <v>287</v>
      </c>
      <c r="B1463" s="3" t="s">
        <v>288</v>
      </c>
      <c r="C1463" s="61" t="s">
        <v>3284</v>
      </c>
      <c r="D1463" s="3" t="s">
        <v>1684</v>
      </c>
      <c r="E1463" s="3">
        <v>1</v>
      </c>
      <c r="F1463" s="3" t="s">
        <v>3266</v>
      </c>
      <c r="G1463" s="9">
        <v>269.49397900000002</v>
      </c>
      <c r="H1463" s="66">
        <v>7950.0723805000007</v>
      </c>
      <c r="I1463" s="9">
        <v>369.82796953032698</v>
      </c>
      <c r="J1463" s="10">
        <v>1.3723051286809156</v>
      </c>
      <c r="K1463" s="66">
        <v>5299.1686990639946</v>
      </c>
      <c r="L1463" s="69">
        <v>13249.241079563995</v>
      </c>
      <c r="M1463" s="64">
        <v>0</v>
      </c>
      <c r="N1463" s="67">
        <v>0</v>
      </c>
      <c r="O1463" s="64">
        <f t="shared" si="44"/>
        <v>13249.241079563995</v>
      </c>
      <c r="P1463" s="64">
        <f t="shared" si="45"/>
        <v>49.163402940308337</v>
      </c>
    </row>
    <row r="1464" spans="1:16" ht="15">
      <c r="A1464" s="3" t="str">
        <f>"060640"</f>
        <v>060640</v>
      </c>
      <c r="B1464" s="3" t="s">
        <v>3133</v>
      </c>
      <c r="C1464" s="61" t="s">
        <v>3284</v>
      </c>
      <c r="D1464" s="3" t="s">
        <v>3249</v>
      </c>
      <c r="E1464" s="3">
        <v>1</v>
      </c>
      <c r="F1464" s="3" t="s">
        <v>3220</v>
      </c>
      <c r="G1464" s="9">
        <v>111</v>
      </c>
      <c r="H1464" s="66">
        <v>3274.5</v>
      </c>
      <c r="I1464" s="9">
        <v>111</v>
      </c>
      <c r="J1464" s="10">
        <v>1</v>
      </c>
      <c r="K1464" s="66">
        <v>0</v>
      </c>
      <c r="L1464" s="69">
        <v>3274.5</v>
      </c>
      <c r="M1464" s="64">
        <v>0</v>
      </c>
      <c r="N1464" s="67">
        <v>0</v>
      </c>
      <c r="O1464" s="64">
        <f t="shared" si="44"/>
        <v>3274.5</v>
      </c>
      <c r="P1464" s="64">
        <f t="shared" si="45"/>
        <v>29.5</v>
      </c>
    </row>
    <row r="1465" spans="1:16" ht="15">
      <c r="A1465" s="3" t="s">
        <v>52</v>
      </c>
      <c r="B1465" s="3" t="s">
        <v>53</v>
      </c>
      <c r="C1465" s="61" t="s">
        <v>3284</v>
      </c>
      <c r="D1465" s="3" t="s">
        <v>1684</v>
      </c>
      <c r="E1465" s="3">
        <v>1</v>
      </c>
      <c r="F1465" s="3" t="s">
        <v>3266</v>
      </c>
      <c r="G1465" s="9">
        <v>142.48181600000001</v>
      </c>
      <c r="H1465" s="66">
        <v>4203.2135720000006</v>
      </c>
      <c r="I1465" s="9">
        <v>199.17171565715799</v>
      </c>
      <c r="J1465" s="10">
        <v>1.3978746288379562</v>
      </c>
      <c r="K1465" s="66">
        <v>2994.0934296387672</v>
      </c>
      <c r="L1465" s="69">
        <v>7197.3070016387683</v>
      </c>
      <c r="M1465" s="64">
        <v>0</v>
      </c>
      <c r="N1465" s="67">
        <v>0</v>
      </c>
      <c r="O1465" s="64">
        <f t="shared" si="44"/>
        <v>7197.3070016387683</v>
      </c>
      <c r="P1465" s="64">
        <f t="shared" si="45"/>
        <v>50.513863478822927</v>
      </c>
    </row>
    <row r="1466" spans="1:16" ht="15">
      <c r="A1466" s="3" t="s">
        <v>1527</v>
      </c>
      <c r="B1466" s="3" t="s">
        <v>1528</v>
      </c>
      <c r="C1466" s="61" t="s">
        <v>3284</v>
      </c>
      <c r="D1466" s="3" t="s">
        <v>3248</v>
      </c>
      <c r="E1466" s="3">
        <v>1</v>
      </c>
      <c r="F1466" s="3" t="s">
        <v>1905</v>
      </c>
      <c r="G1466" s="9">
        <v>1920.419492</v>
      </c>
      <c r="H1466" s="66">
        <v>56652.375013999997</v>
      </c>
      <c r="I1466" s="9">
        <v>2503.00229476712</v>
      </c>
      <c r="J1466" s="10">
        <v>1.3033622628774693</v>
      </c>
      <c r="K1466" s="66">
        <v>30769.279052081125</v>
      </c>
      <c r="L1466" s="69">
        <v>87421.65406608113</v>
      </c>
      <c r="M1466" s="64">
        <v>1017320.1616405913</v>
      </c>
      <c r="N1466" s="67">
        <v>20391.472226997063</v>
      </c>
      <c r="O1466" s="64">
        <f t="shared" si="44"/>
        <v>107813.1262930782</v>
      </c>
      <c r="P1466" s="64">
        <f t="shared" si="45"/>
        <v>56.140404084733269</v>
      </c>
    </row>
    <row r="1467" spans="1:16" ht="15">
      <c r="A1467" s="3" t="str">
        <f>"096974"</f>
        <v>096974</v>
      </c>
      <c r="B1467" s="3" t="s">
        <v>2647</v>
      </c>
      <c r="C1467" s="61" t="s">
        <v>3284</v>
      </c>
      <c r="D1467" s="3" t="s">
        <v>3249</v>
      </c>
      <c r="E1467" s="3">
        <v>1</v>
      </c>
      <c r="F1467" s="3" t="s">
        <v>3220</v>
      </c>
      <c r="G1467" s="9">
        <v>8</v>
      </c>
      <c r="H1467" s="66">
        <v>236</v>
      </c>
      <c r="I1467" s="9">
        <v>8.7374000000000009</v>
      </c>
      <c r="J1467" s="10">
        <v>1.0921750000000001</v>
      </c>
      <c r="K1467" s="66">
        <v>38.945994054813177</v>
      </c>
      <c r="L1467" s="69">
        <v>274.94599405481318</v>
      </c>
      <c r="M1467" s="64">
        <v>0</v>
      </c>
      <c r="N1467" s="67">
        <v>0</v>
      </c>
      <c r="O1467" s="64">
        <f t="shared" si="44"/>
        <v>274.94599405481318</v>
      </c>
      <c r="P1467" s="64">
        <f t="shared" si="45"/>
        <v>34.368249256851648</v>
      </c>
    </row>
    <row r="1468" spans="1:16" ht="15">
      <c r="A1468" s="3" t="str">
        <f>"017029"</f>
        <v>017029</v>
      </c>
      <c r="B1468" s="3" t="s">
        <v>2696</v>
      </c>
      <c r="C1468" s="61" t="s">
        <v>3284</v>
      </c>
      <c r="D1468" s="3" t="s">
        <v>3249</v>
      </c>
      <c r="E1468" s="3">
        <v>1</v>
      </c>
      <c r="F1468" s="3" t="s">
        <v>3220</v>
      </c>
      <c r="G1468" s="9">
        <v>36</v>
      </c>
      <c r="H1468" s="66">
        <v>1062</v>
      </c>
      <c r="I1468" s="9">
        <v>40.424399999999999</v>
      </c>
      <c r="J1468" s="10">
        <v>1.1229</v>
      </c>
      <c r="K1468" s="66">
        <v>233.67596432887865</v>
      </c>
      <c r="L1468" s="69">
        <v>1295.6759643288788</v>
      </c>
      <c r="M1468" s="64">
        <v>0</v>
      </c>
      <c r="N1468" s="67">
        <v>0</v>
      </c>
      <c r="O1468" s="64">
        <f t="shared" si="44"/>
        <v>1295.6759643288788</v>
      </c>
      <c r="P1468" s="64">
        <f t="shared" si="45"/>
        <v>35.990999009135521</v>
      </c>
    </row>
    <row r="1469" spans="1:16" ht="15">
      <c r="A1469" s="3" t="str">
        <f>"052845"</f>
        <v>052845</v>
      </c>
      <c r="B1469" s="3" t="s">
        <v>2775</v>
      </c>
      <c r="C1469" s="61" t="s">
        <v>3284</v>
      </c>
      <c r="D1469" s="3" t="s">
        <v>3249</v>
      </c>
      <c r="E1469" s="3">
        <v>1</v>
      </c>
      <c r="F1469" s="3" t="s">
        <v>3220</v>
      </c>
      <c r="G1469" s="9">
        <v>319</v>
      </c>
      <c r="H1469" s="66">
        <v>9410.5</v>
      </c>
      <c r="I1469" s="9">
        <v>327.84879999999998</v>
      </c>
      <c r="J1469" s="10">
        <v>1.027739184952978</v>
      </c>
      <c r="K1469" s="66">
        <v>467.35192865775656</v>
      </c>
      <c r="L1469" s="69">
        <v>9877.8519286577557</v>
      </c>
      <c r="M1469" s="64">
        <v>0</v>
      </c>
      <c r="N1469" s="67">
        <v>0</v>
      </c>
      <c r="O1469" s="64">
        <f t="shared" si="44"/>
        <v>9877.8519286577557</v>
      </c>
      <c r="P1469" s="64">
        <f t="shared" si="45"/>
        <v>30.965053067892651</v>
      </c>
    </row>
    <row r="1470" spans="1:16" ht="15">
      <c r="A1470" s="3" t="s">
        <v>1713</v>
      </c>
      <c r="B1470" s="3" t="s">
        <v>1815</v>
      </c>
      <c r="C1470" s="61" t="s">
        <v>3284</v>
      </c>
      <c r="D1470" s="3" t="s">
        <v>1684</v>
      </c>
      <c r="E1470" s="3">
        <v>1</v>
      </c>
      <c r="F1470" s="3" t="s">
        <v>3266</v>
      </c>
      <c r="G1470" s="9">
        <v>135.94736800000001</v>
      </c>
      <c r="H1470" s="66">
        <v>4010.4473560000001</v>
      </c>
      <c r="I1470" s="9">
        <v>187.17292383808601</v>
      </c>
      <c r="J1470" s="10">
        <v>1.3768043220821016</v>
      </c>
      <c r="K1470" s="66">
        <v>2705.4925320376929</v>
      </c>
      <c r="L1470" s="69">
        <v>6715.939888037693</v>
      </c>
      <c r="M1470" s="64">
        <v>0</v>
      </c>
      <c r="N1470" s="67">
        <v>0</v>
      </c>
      <c r="O1470" s="64">
        <f t="shared" si="44"/>
        <v>6715.939888037693</v>
      </c>
      <c r="P1470" s="64">
        <f t="shared" si="45"/>
        <v>49.401029139730696</v>
      </c>
    </row>
    <row r="1471" spans="1:16" ht="15">
      <c r="A1471" s="3" t="s">
        <v>1529</v>
      </c>
      <c r="B1471" s="3" t="s">
        <v>1530</v>
      </c>
      <c r="C1471" s="61" t="s">
        <v>3284</v>
      </c>
      <c r="D1471" s="3" t="s">
        <v>3248</v>
      </c>
      <c r="E1471" s="3">
        <v>1</v>
      </c>
      <c r="F1471" s="3" t="s">
        <v>3223</v>
      </c>
      <c r="G1471" s="9">
        <v>1462.3716850000001</v>
      </c>
      <c r="H1471" s="66">
        <v>43139.964707500003</v>
      </c>
      <c r="I1471" s="9">
        <v>1795.0243849818901</v>
      </c>
      <c r="J1471" s="10">
        <v>1.2274747954942042</v>
      </c>
      <c r="K1471" s="66">
        <v>17569.148461909714</v>
      </c>
      <c r="L1471" s="69">
        <v>60709.113169409713</v>
      </c>
      <c r="M1471" s="64">
        <v>1074943.5505949291</v>
      </c>
      <c r="N1471" s="67">
        <v>21546.492819130923</v>
      </c>
      <c r="O1471" s="64">
        <f t="shared" si="44"/>
        <v>82255.605988540628</v>
      </c>
      <c r="P1471" s="64">
        <f t="shared" si="45"/>
        <v>56.248084418114694</v>
      </c>
    </row>
    <row r="1472" spans="1:16" ht="15">
      <c r="A1472" s="3" t="str">
        <f>"065003"</f>
        <v>065003</v>
      </c>
      <c r="B1472" s="3" t="s">
        <v>2991</v>
      </c>
      <c r="C1472" s="61" t="s">
        <v>3284</v>
      </c>
      <c r="D1472" s="3" t="s">
        <v>3249</v>
      </c>
      <c r="E1472" s="3">
        <v>1</v>
      </c>
      <c r="F1472" s="3" t="s">
        <v>3220</v>
      </c>
      <c r="G1472" s="9">
        <v>187</v>
      </c>
      <c r="H1472" s="66">
        <v>5516.5</v>
      </c>
      <c r="I1472" s="9">
        <v>211.4238</v>
      </c>
      <c r="J1472" s="10">
        <v>1.1306085561497325</v>
      </c>
      <c r="K1472" s="66">
        <v>1289.9500536966975</v>
      </c>
      <c r="L1472" s="69">
        <v>6806.4500536966971</v>
      </c>
      <c r="M1472" s="64">
        <v>0</v>
      </c>
      <c r="N1472" s="67">
        <v>0</v>
      </c>
      <c r="O1472" s="64">
        <f t="shared" si="44"/>
        <v>6806.4500536966971</v>
      </c>
      <c r="P1472" s="64">
        <f t="shared" si="45"/>
        <v>36.398128629394101</v>
      </c>
    </row>
    <row r="1473" spans="1:16" ht="15">
      <c r="A1473" s="3" t="str">
        <f>"133041"</f>
        <v>133041</v>
      </c>
      <c r="B1473" s="3" t="s">
        <v>3041</v>
      </c>
      <c r="C1473" s="61" t="s">
        <v>3284</v>
      </c>
      <c r="D1473" s="3" t="s">
        <v>3249</v>
      </c>
      <c r="E1473" s="3">
        <v>1</v>
      </c>
      <c r="F1473" s="3" t="s">
        <v>3220</v>
      </c>
      <c r="G1473" s="9">
        <v>6</v>
      </c>
      <c r="H1473" s="66">
        <v>177</v>
      </c>
      <c r="I1473" s="9">
        <v>6</v>
      </c>
      <c r="J1473" s="10">
        <v>1</v>
      </c>
      <c r="K1473" s="66">
        <v>0</v>
      </c>
      <c r="L1473" s="69">
        <v>177</v>
      </c>
      <c r="M1473" s="64">
        <v>0</v>
      </c>
      <c r="N1473" s="67">
        <v>0</v>
      </c>
      <c r="O1473" s="64">
        <f t="shared" si="44"/>
        <v>177</v>
      </c>
      <c r="P1473" s="64">
        <f t="shared" si="45"/>
        <v>29.5</v>
      </c>
    </row>
    <row r="1474" spans="1:16" ht="15">
      <c r="A1474" s="3" t="s">
        <v>1531</v>
      </c>
      <c r="B1474" s="3" t="s">
        <v>1532</v>
      </c>
      <c r="C1474" s="61" t="s">
        <v>3284</v>
      </c>
      <c r="D1474" s="3" t="s">
        <v>3248</v>
      </c>
      <c r="E1474" s="3">
        <v>1</v>
      </c>
      <c r="F1474" s="3" t="s">
        <v>1906</v>
      </c>
      <c r="G1474" s="9">
        <v>5830.4334660000004</v>
      </c>
      <c r="H1474" s="66">
        <v>171997.787247</v>
      </c>
      <c r="I1474" s="9">
        <v>6795.5145264989096</v>
      </c>
      <c r="J1474" s="10">
        <v>1.1655247531983257</v>
      </c>
      <c r="K1474" s="66">
        <v>50971.03504828216</v>
      </c>
      <c r="L1474" s="69">
        <v>222968.82229528215</v>
      </c>
      <c r="M1474" s="64">
        <v>3372661.5607070415</v>
      </c>
      <c r="N1474" s="67">
        <v>67602.645793739008</v>
      </c>
      <c r="O1474" s="64">
        <f t="shared" si="44"/>
        <v>290571.46808902116</v>
      </c>
      <c r="P1474" s="64">
        <f t="shared" si="45"/>
        <v>49.837026660792894</v>
      </c>
    </row>
    <row r="1475" spans="1:16" ht="15">
      <c r="A1475" s="3" t="str">
        <f>"064915"</f>
        <v>064915</v>
      </c>
      <c r="B1475" s="3" t="s">
        <v>2935</v>
      </c>
      <c r="C1475" s="61" t="s">
        <v>3284</v>
      </c>
      <c r="D1475" s="3" t="s">
        <v>3249</v>
      </c>
      <c r="E1475" s="3">
        <v>1</v>
      </c>
      <c r="F1475" s="3" t="s">
        <v>3220</v>
      </c>
      <c r="G1475" s="9">
        <v>643</v>
      </c>
      <c r="H1475" s="66">
        <v>18968.5</v>
      </c>
      <c r="I1475" s="9">
        <v>708.83019999999999</v>
      </c>
      <c r="J1475" s="10">
        <v>1.1023797822706065</v>
      </c>
      <c r="K1475" s="66">
        <v>3476.841033126062</v>
      </c>
      <c r="L1475" s="69">
        <v>22445.34103312606</v>
      </c>
      <c r="M1475" s="64">
        <v>0</v>
      </c>
      <c r="N1475" s="67">
        <v>0</v>
      </c>
      <c r="O1475" s="64">
        <f t="shared" ref="O1475:O1538" si="46">(N1475+L1475)</f>
        <v>22445.34103312606</v>
      </c>
      <c r="P1475" s="64">
        <f t="shared" ref="P1475:P1538" si="47">O1475/G1475</f>
        <v>34.907217780911445</v>
      </c>
    </row>
    <row r="1476" spans="1:16" ht="15">
      <c r="A1476" s="3" t="s">
        <v>1533</v>
      </c>
      <c r="B1476" s="3" t="s">
        <v>1534</v>
      </c>
      <c r="C1476" s="61" t="s">
        <v>3284</v>
      </c>
      <c r="D1476" s="3" t="s">
        <v>3248</v>
      </c>
      <c r="E1476" s="3">
        <v>1</v>
      </c>
      <c r="F1476" s="3" t="s">
        <v>1904</v>
      </c>
      <c r="G1476" s="9">
        <v>3337.2191069999999</v>
      </c>
      <c r="H1476" s="66">
        <v>98447.963656499996</v>
      </c>
      <c r="I1476" s="9">
        <v>3790.8790494681398</v>
      </c>
      <c r="J1476" s="10">
        <v>1.1359395136856802</v>
      </c>
      <c r="K1476" s="66">
        <v>23960.180936087658</v>
      </c>
      <c r="L1476" s="69">
        <v>122408.14459258766</v>
      </c>
      <c r="M1476" s="64">
        <v>2111493.1748839132</v>
      </c>
      <c r="N1476" s="67">
        <v>42323.406196633077</v>
      </c>
      <c r="O1476" s="64">
        <f t="shared" si="46"/>
        <v>164731.55078922072</v>
      </c>
      <c r="P1476" s="64">
        <f t="shared" si="47"/>
        <v>49.361922459237775</v>
      </c>
    </row>
    <row r="1477" spans="1:16" ht="15">
      <c r="A1477" s="3" t="s">
        <v>1535</v>
      </c>
      <c r="B1477" s="3" t="s">
        <v>1536</v>
      </c>
      <c r="C1477" s="61" t="s">
        <v>3284</v>
      </c>
      <c r="D1477" s="3" t="s">
        <v>3248</v>
      </c>
      <c r="E1477" s="3">
        <v>1</v>
      </c>
      <c r="F1477" s="3" t="s">
        <v>1904</v>
      </c>
      <c r="G1477" s="9">
        <v>2785.6420579999999</v>
      </c>
      <c r="H1477" s="66">
        <v>82176.440711000003</v>
      </c>
      <c r="I1477" s="9">
        <v>3273.7831435635399</v>
      </c>
      <c r="J1477" s="10">
        <v>1.1752346767459454</v>
      </c>
      <c r="K1477" s="66">
        <v>25781.312471206467</v>
      </c>
      <c r="L1477" s="69">
        <v>107957.75318220648</v>
      </c>
      <c r="M1477" s="64">
        <v>1526619.4877820208</v>
      </c>
      <c r="N1477" s="67">
        <v>30600.021566561143</v>
      </c>
      <c r="O1477" s="64">
        <f t="shared" si="46"/>
        <v>138557.77474876761</v>
      </c>
      <c r="P1477" s="64">
        <f t="shared" si="47"/>
        <v>49.739978024401161</v>
      </c>
    </row>
    <row r="1478" spans="1:16" ht="15">
      <c r="A1478" s="3" t="s">
        <v>1537</v>
      </c>
      <c r="B1478" s="3" t="s">
        <v>1538</v>
      </c>
      <c r="C1478" s="61" t="s">
        <v>3284</v>
      </c>
      <c r="D1478" s="3" t="s">
        <v>3248</v>
      </c>
      <c r="E1478" s="3">
        <v>1</v>
      </c>
      <c r="F1478" s="3" t="s">
        <v>1904</v>
      </c>
      <c r="G1478" s="9">
        <v>2083.688666</v>
      </c>
      <c r="H1478" s="66">
        <v>61468.815647000003</v>
      </c>
      <c r="I1478" s="9">
        <v>2442.5156374504199</v>
      </c>
      <c r="J1478" s="10">
        <v>1.1722075746273795</v>
      </c>
      <c r="K1478" s="66">
        <v>18951.550171975388</v>
      </c>
      <c r="L1478" s="69">
        <v>80420.365818975391</v>
      </c>
      <c r="M1478" s="64">
        <v>1827309.4685945595</v>
      </c>
      <c r="N1478" s="67">
        <v>36627.142254690552</v>
      </c>
      <c r="O1478" s="64">
        <f t="shared" si="46"/>
        <v>117047.50807366594</v>
      </c>
      <c r="P1478" s="64">
        <f t="shared" si="47"/>
        <v>56.173222988422182</v>
      </c>
    </row>
    <row r="1479" spans="1:16" ht="15">
      <c r="A1479" s="3" t="str">
        <f>"084335"</f>
        <v>084335</v>
      </c>
      <c r="B1479" s="3" t="s">
        <v>3108</v>
      </c>
      <c r="C1479" s="61" t="s">
        <v>3284</v>
      </c>
      <c r="D1479" s="3" t="s">
        <v>3249</v>
      </c>
      <c r="E1479" s="3">
        <v>1</v>
      </c>
      <c r="F1479" s="3" t="s">
        <v>3220</v>
      </c>
      <c r="G1479" s="9">
        <v>64</v>
      </c>
      <c r="H1479" s="66">
        <v>1888</v>
      </c>
      <c r="I1479" s="9">
        <v>64</v>
      </c>
      <c r="J1479" s="10">
        <v>1</v>
      </c>
      <c r="K1479" s="66">
        <v>0</v>
      </c>
      <c r="L1479" s="69">
        <v>1888</v>
      </c>
      <c r="M1479" s="64">
        <v>0</v>
      </c>
      <c r="N1479" s="67">
        <v>0</v>
      </c>
      <c r="O1479" s="64">
        <f t="shared" si="46"/>
        <v>1888</v>
      </c>
      <c r="P1479" s="64">
        <f t="shared" si="47"/>
        <v>29.5</v>
      </c>
    </row>
    <row r="1480" spans="1:16" ht="15">
      <c r="A1480" s="3" t="s">
        <v>701</v>
      </c>
      <c r="B1480" s="3" t="s">
        <v>702</v>
      </c>
      <c r="C1480" s="61" t="s">
        <v>3284</v>
      </c>
      <c r="D1480" s="3" t="s">
        <v>3248</v>
      </c>
      <c r="E1480" s="3">
        <v>1</v>
      </c>
      <c r="F1480" s="3" t="s">
        <v>1909</v>
      </c>
      <c r="G1480" s="9">
        <v>3937.243058</v>
      </c>
      <c r="H1480" s="66">
        <v>116148.670211</v>
      </c>
      <c r="I1480" s="9">
        <v>5429.0114535899102</v>
      </c>
      <c r="J1480" s="10">
        <v>1.3788865390361964</v>
      </c>
      <c r="K1480" s="66">
        <v>78788.17882533597</v>
      </c>
      <c r="L1480" s="69">
        <v>194936.84903633597</v>
      </c>
      <c r="M1480" s="64">
        <v>2217233.0716896178</v>
      </c>
      <c r="N1480" s="67">
        <v>44442.888588018955</v>
      </c>
      <c r="O1480" s="64">
        <f t="shared" si="46"/>
        <v>239379.73762435492</v>
      </c>
      <c r="P1480" s="64">
        <f t="shared" si="47"/>
        <v>60.798821433684253</v>
      </c>
    </row>
    <row r="1481" spans="1:16" ht="15">
      <c r="A1481" s="3" t="str">
        <f>"133165"</f>
        <v>133165</v>
      </c>
      <c r="B1481" s="3" t="s">
        <v>3039</v>
      </c>
      <c r="C1481" s="61" t="s">
        <v>3284</v>
      </c>
      <c r="D1481" s="3" t="s">
        <v>3249</v>
      </c>
      <c r="E1481" s="3">
        <v>1</v>
      </c>
      <c r="F1481" s="3" t="s">
        <v>3220</v>
      </c>
      <c r="G1481" s="9">
        <v>18</v>
      </c>
      <c r="H1481" s="66">
        <v>531</v>
      </c>
      <c r="I1481" s="9">
        <v>18</v>
      </c>
      <c r="J1481" s="10">
        <v>1</v>
      </c>
      <c r="K1481" s="66">
        <v>0</v>
      </c>
      <c r="L1481" s="69">
        <v>531</v>
      </c>
      <c r="M1481" s="64">
        <v>0</v>
      </c>
      <c r="N1481" s="67">
        <v>0</v>
      </c>
      <c r="O1481" s="64">
        <f t="shared" si="46"/>
        <v>531</v>
      </c>
      <c r="P1481" s="64">
        <f t="shared" si="47"/>
        <v>29.5</v>
      </c>
    </row>
    <row r="1482" spans="1:16" ht="15">
      <c r="A1482" s="3" t="s">
        <v>1539</v>
      </c>
      <c r="B1482" s="3" t="s">
        <v>1540</v>
      </c>
      <c r="C1482" s="61" t="s">
        <v>3284</v>
      </c>
      <c r="D1482" s="3" t="s">
        <v>3248</v>
      </c>
      <c r="E1482" s="3">
        <v>1</v>
      </c>
      <c r="F1482" s="3" t="s">
        <v>3223</v>
      </c>
      <c r="G1482" s="9">
        <v>1829.6015620000001</v>
      </c>
      <c r="H1482" s="66">
        <v>53973.246079000004</v>
      </c>
      <c r="I1482" s="9">
        <v>2350.0791416325501</v>
      </c>
      <c r="J1482" s="10">
        <v>1.2844759156543342</v>
      </c>
      <c r="K1482" s="66">
        <v>27489.173748349356</v>
      </c>
      <c r="L1482" s="69">
        <v>81462.419827349368</v>
      </c>
      <c r="M1482" s="64">
        <v>1387351.3955649263</v>
      </c>
      <c r="N1482" s="67">
        <v>27808.489911499881</v>
      </c>
      <c r="O1482" s="64">
        <f t="shared" si="46"/>
        <v>109270.90973884925</v>
      </c>
      <c r="P1482" s="64">
        <f t="shared" si="47"/>
        <v>59.723883061950104</v>
      </c>
    </row>
    <row r="1483" spans="1:16" ht="15">
      <c r="A1483" s="3" t="s">
        <v>729</v>
      </c>
      <c r="B1483" s="3" t="s">
        <v>730</v>
      </c>
      <c r="C1483" s="61" t="s">
        <v>3284</v>
      </c>
      <c r="D1483" s="3" t="s">
        <v>3248</v>
      </c>
      <c r="E1483" s="3">
        <v>1</v>
      </c>
      <c r="F1483" s="3" t="s">
        <v>1906</v>
      </c>
      <c r="G1483" s="9">
        <v>4247.939249</v>
      </c>
      <c r="H1483" s="66">
        <v>125314.2078455</v>
      </c>
      <c r="I1483" s="9">
        <v>5036.7807971593602</v>
      </c>
      <c r="J1483" s="10">
        <v>1.1856998186461964</v>
      </c>
      <c r="K1483" s="66">
        <v>41662.89428370494</v>
      </c>
      <c r="L1483" s="69">
        <v>166977.10212920496</v>
      </c>
      <c r="M1483" s="64">
        <v>2115899.0294987322</v>
      </c>
      <c r="N1483" s="67">
        <v>42411.718475699083</v>
      </c>
      <c r="O1483" s="64">
        <f t="shared" si="46"/>
        <v>209388.82060490403</v>
      </c>
      <c r="P1483" s="64">
        <f t="shared" si="47"/>
        <v>49.291858553343459</v>
      </c>
    </row>
    <row r="1484" spans="1:16" ht="15">
      <c r="A1484" s="3" t="s">
        <v>1541</v>
      </c>
      <c r="B1484" s="3" t="s">
        <v>1185</v>
      </c>
      <c r="C1484" s="61" t="s">
        <v>3284</v>
      </c>
      <c r="D1484" s="3" t="s">
        <v>3248</v>
      </c>
      <c r="E1484" s="3">
        <v>1</v>
      </c>
      <c r="F1484" s="3" t="s">
        <v>1904</v>
      </c>
      <c r="G1484" s="9">
        <v>1792.829765</v>
      </c>
      <c r="H1484" s="66">
        <v>52888.4780675</v>
      </c>
      <c r="I1484" s="9">
        <v>2044.9941842349101</v>
      </c>
      <c r="J1484" s="10">
        <v>1.1406516246872498</v>
      </c>
      <c r="K1484" s="66">
        <v>13318.136659015752</v>
      </c>
      <c r="L1484" s="69">
        <v>66206.614726515749</v>
      </c>
      <c r="M1484" s="64">
        <v>1200588.1938662184</v>
      </c>
      <c r="N1484" s="67">
        <v>24064.951953574582</v>
      </c>
      <c r="O1484" s="64">
        <f t="shared" si="46"/>
        <v>90271.566680090327</v>
      </c>
      <c r="P1484" s="64">
        <f t="shared" si="47"/>
        <v>50.351443534902671</v>
      </c>
    </row>
    <row r="1485" spans="1:16" ht="15">
      <c r="A1485" s="3" t="s">
        <v>1542</v>
      </c>
      <c r="B1485" s="3" t="s">
        <v>1543</v>
      </c>
      <c r="C1485" s="61" t="s">
        <v>3284</v>
      </c>
      <c r="D1485" s="3" t="s">
        <v>3248</v>
      </c>
      <c r="E1485" s="3">
        <v>1</v>
      </c>
      <c r="F1485" s="3" t="s">
        <v>3223</v>
      </c>
      <c r="G1485" s="9">
        <v>843.159629</v>
      </c>
      <c r="H1485" s="66">
        <v>24873.2090555</v>
      </c>
      <c r="I1485" s="9">
        <v>1052.69051770028</v>
      </c>
      <c r="J1485" s="10">
        <v>1.2485067850660578</v>
      </c>
      <c r="K1485" s="66">
        <v>11066.434425848678</v>
      </c>
      <c r="L1485" s="69">
        <v>35939.643481348678</v>
      </c>
      <c r="M1485" s="64">
        <v>335939.33130470489</v>
      </c>
      <c r="N1485" s="67">
        <v>6733.6693034852033</v>
      </c>
      <c r="O1485" s="64">
        <f t="shared" si="46"/>
        <v>42673.312784833877</v>
      </c>
      <c r="P1485" s="64">
        <f t="shared" si="47"/>
        <v>50.611190713014885</v>
      </c>
    </row>
    <row r="1486" spans="1:16" ht="15">
      <c r="A1486" s="3" t="str">
        <f>"059733"</f>
        <v>059733</v>
      </c>
      <c r="B1486" s="3" t="s">
        <v>2772</v>
      </c>
      <c r="C1486" s="61" t="s">
        <v>3284</v>
      </c>
      <c r="D1486" s="3" t="s">
        <v>3249</v>
      </c>
      <c r="E1486" s="3">
        <v>1</v>
      </c>
      <c r="F1486" s="3" t="s">
        <v>3220</v>
      </c>
      <c r="G1486" s="9">
        <v>222</v>
      </c>
      <c r="H1486" s="66">
        <v>6549</v>
      </c>
      <c r="I1486" s="9">
        <v>260.13240000000002</v>
      </c>
      <c r="J1486" s="10">
        <v>1.1717675675675676</v>
      </c>
      <c r="K1486" s="66">
        <v>2013.973723482176</v>
      </c>
      <c r="L1486" s="69">
        <v>8562.9737234821769</v>
      </c>
      <c r="M1486" s="64">
        <v>0</v>
      </c>
      <c r="N1486" s="67">
        <v>0</v>
      </c>
      <c r="O1486" s="64">
        <f t="shared" si="46"/>
        <v>8562.9737234821769</v>
      </c>
      <c r="P1486" s="64">
        <f t="shared" si="47"/>
        <v>38.571953709379173</v>
      </c>
    </row>
    <row r="1487" spans="1:16" ht="15">
      <c r="A1487" s="3" t="s">
        <v>1544</v>
      </c>
      <c r="B1487" s="3" t="s">
        <v>963</v>
      </c>
      <c r="C1487" s="61" t="s">
        <v>3284</v>
      </c>
      <c r="D1487" s="3" t="s">
        <v>3248</v>
      </c>
      <c r="E1487" s="3">
        <v>1</v>
      </c>
      <c r="F1487" s="3" t="s">
        <v>1905</v>
      </c>
      <c r="G1487" s="9">
        <v>4601.3326770000003</v>
      </c>
      <c r="H1487" s="66">
        <v>135739.3139715</v>
      </c>
      <c r="I1487" s="9">
        <v>5420.8660002741899</v>
      </c>
      <c r="J1487" s="10">
        <v>1.1781078180612041</v>
      </c>
      <c r="K1487" s="66">
        <v>43283.889254078967</v>
      </c>
      <c r="L1487" s="69">
        <v>179023.20322557897</v>
      </c>
      <c r="M1487" s="64">
        <v>2802106.7695846134</v>
      </c>
      <c r="N1487" s="67">
        <v>56166.27343443111</v>
      </c>
      <c r="O1487" s="64">
        <f t="shared" si="46"/>
        <v>235189.47666001008</v>
      </c>
      <c r="P1487" s="64">
        <f t="shared" si="47"/>
        <v>51.113338932352548</v>
      </c>
    </row>
    <row r="1488" spans="1:16" ht="15">
      <c r="A1488" s="3" t="s">
        <v>1545</v>
      </c>
      <c r="B1488" s="3" t="s">
        <v>1546</v>
      </c>
      <c r="C1488" s="61" t="s">
        <v>3284</v>
      </c>
      <c r="D1488" s="3" t="s">
        <v>3248</v>
      </c>
      <c r="E1488" s="3">
        <v>1</v>
      </c>
      <c r="F1488" s="3" t="s">
        <v>1906</v>
      </c>
      <c r="G1488" s="9">
        <v>6061.3619509999999</v>
      </c>
      <c r="H1488" s="66">
        <v>178810.1775545</v>
      </c>
      <c r="I1488" s="9">
        <v>7346.9710463865604</v>
      </c>
      <c r="J1488" s="10">
        <v>1.2120990473394286</v>
      </c>
      <c r="K1488" s="66">
        <v>67899.815820095828</v>
      </c>
      <c r="L1488" s="69">
        <v>246709.99337459583</v>
      </c>
      <c r="M1488" s="64">
        <v>3809939.99809448</v>
      </c>
      <c r="N1488" s="67">
        <v>76367.586711719967</v>
      </c>
      <c r="O1488" s="64">
        <f t="shared" si="46"/>
        <v>323077.58008631581</v>
      </c>
      <c r="P1488" s="64">
        <f t="shared" si="47"/>
        <v>53.301152892381666</v>
      </c>
    </row>
    <row r="1489" spans="1:16" ht="15">
      <c r="A1489" s="3" t="str">
        <f>"059535"</f>
        <v>059535</v>
      </c>
      <c r="B1489" s="3" t="s">
        <v>2708</v>
      </c>
      <c r="C1489" s="61" t="s">
        <v>3284</v>
      </c>
      <c r="D1489" s="3" t="s">
        <v>3249</v>
      </c>
      <c r="E1489" s="3">
        <v>1</v>
      </c>
      <c r="F1489" s="3" t="s">
        <v>3220</v>
      </c>
      <c r="G1489" s="9">
        <v>103</v>
      </c>
      <c r="H1489" s="66">
        <v>3038.5</v>
      </c>
      <c r="I1489" s="9">
        <v>115.1618</v>
      </c>
      <c r="J1489" s="10">
        <v>1.1180757281553397</v>
      </c>
      <c r="K1489" s="66">
        <v>642.32898087310309</v>
      </c>
      <c r="L1489" s="69">
        <v>3680.8289808731033</v>
      </c>
      <c r="M1489" s="64">
        <v>0</v>
      </c>
      <c r="N1489" s="67">
        <v>0</v>
      </c>
      <c r="O1489" s="64">
        <f t="shared" si="46"/>
        <v>3680.8289808731033</v>
      </c>
      <c r="P1489" s="64">
        <f t="shared" si="47"/>
        <v>35.736203697797123</v>
      </c>
    </row>
    <row r="1490" spans="1:16" ht="15">
      <c r="A1490" s="3" t="s">
        <v>1547</v>
      </c>
      <c r="B1490" s="3" t="s">
        <v>1548</v>
      </c>
      <c r="C1490" s="61" t="s">
        <v>3284</v>
      </c>
      <c r="D1490" s="3" t="s">
        <v>3248</v>
      </c>
      <c r="E1490" s="3">
        <v>1</v>
      </c>
      <c r="F1490" s="3" t="s">
        <v>3223</v>
      </c>
      <c r="G1490" s="9">
        <v>1304.5198660000001</v>
      </c>
      <c r="H1490" s="66">
        <v>38483.336047000004</v>
      </c>
      <c r="I1490" s="9">
        <v>1604.9951721462801</v>
      </c>
      <c r="J1490" s="10">
        <v>1.2303340209510309</v>
      </c>
      <c r="K1490" s="66">
        <v>15869.690109562209</v>
      </c>
      <c r="L1490" s="69">
        <v>54353.026156562213</v>
      </c>
      <c r="M1490" s="64">
        <v>1072931.107187924</v>
      </c>
      <c r="N1490" s="67">
        <v>21506.154796363175</v>
      </c>
      <c r="O1490" s="64">
        <f t="shared" si="46"/>
        <v>75859.180952925381</v>
      </c>
      <c r="P1490" s="64">
        <f t="shared" si="47"/>
        <v>58.151035434615125</v>
      </c>
    </row>
    <row r="1491" spans="1:16" ht="15">
      <c r="A1491" s="3" t="str">
        <f>"059865"</f>
        <v>059865</v>
      </c>
      <c r="B1491" s="3" t="s">
        <v>2743</v>
      </c>
      <c r="C1491" s="61" t="s">
        <v>3284</v>
      </c>
      <c r="D1491" s="3" t="s">
        <v>3249</v>
      </c>
      <c r="E1491" s="3">
        <v>1</v>
      </c>
      <c r="F1491" s="3" t="s">
        <v>3220</v>
      </c>
      <c r="G1491" s="9">
        <v>63</v>
      </c>
      <c r="H1491" s="66">
        <v>1858.5</v>
      </c>
      <c r="I1491" s="9">
        <v>73.673999999999992</v>
      </c>
      <c r="J1491" s="10">
        <v>1.1694285714285713</v>
      </c>
      <c r="K1491" s="66">
        <v>563.75039400742469</v>
      </c>
      <c r="L1491" s="69">
        <v>2422.2503940074248</v>
      </c>
      <c r="M1491" s="64">
        <v>0</v>
      </c>
      <c r="N1491" s="67">
        <v>0</v>
      </c>
      <c r="O1491" s="64">
        <f t="shared" si="46"/>
        <v>2422.2503940074248</v>
      </c>
      <c r="P1491" s="64">
        <f t="shared" si="47"/>
        <v>38.448418952498805</v>
      </c>
    </row>
    <row r="1492" spans="1:16" ht="15">
      <c r="A1492" s="3" t="str">
        <f>"060095"</f>
        <v>060095</v>
      </c>
      <c r="B1492" s="3" t="s">
        <v>2796</v>
      </c>
      <c r="C1492" s="61" t="s">
        <v>3284</v>
      </c>
      <c r="D1492" s="3" t="s">
        <v>3249</v>
      </c>
      <c r="E1492" s="3">
        <v>1</v>
      </c>
      <c r="F1492" s="3" t="s">
        <v>3220</v>
      </c>
      <c r="G1492" s="9">
        <v>61</v>
      </c>
      <c r="H1492" s="66">
        <v>1799.5</v>
      </c>
      <c r="I1492" s="9">
        <v>74.823599999999999</v>
      </c>
      <c r="J1492" s="10">
        <v>1.2266163934426229</v>
      </c>
      <c r="K1492" s="66">
        <v>730.09742801208927</v>
      </c>
      <c r="L1492" s="69">
        <v>2529.597428012089</v>
      </c>
      <c r="M1492" s="64">
        <v>0</v>
      </c>
      <c r="N1492" s="67">
        <v>0</v>
      </c>
      <c r="O1492" s="64">
        <f t="shared" si="46"/>
        <v>2529.597428012089</v>
      </c>
      <c r="P1492" s="64">
        <f t="shared" si="47"/>
        <v>41.46881029528015</v>
      </c>
    </row>
    <row r="1493" spans="1:16" ht="15">
      <c r="A1493" s="3" t="str">
        <f>"059667"</f>
        <v>059667</v>
      </c>
      <c r="B1493" s="3" t="s">
        <v>2727</v>
      </c>
      <c r="C1493" s="61" t="s">
        <v>3284</v>
      </c>
      <c r="D1493" s="3" t="s">
        <v>3249</v>
      </c>
      <c r="E1493" s="3">
        <v>1</v>
      </c>
      <c r="F1493" s="3" t="s">
        <v>3220</v>
      </c>
      <c r="G1493" s="9">
        <v>185</v>
      </c>
      <c r="H1493" s="66">
        <v>5457.5</v>
      </c>
      <c r="I1493" s="9">
        <v>204.7578</v>
      </c>
      <c r="J1493" s="10">
        <v>1.1067989189189189</v>
      </c>
      <c r="K1493" s="66">
        <v>1043.5139155630416</v>
      </c>
      <c r="L1493" s="69">
        <v>6501.0139155630413</v>
      </c>
      <c r="M1493" s="64">
        <v>0</v>
      </c>
      <c r="N1493" s="67">
        <v>0</v>
      </c>
      <c r="O1493" s="64">
        <f t="shared" si="46"/>
        <v>6501.0139155630413</v>
      </c>
      <c r="P1493" s="64">
        <f t="shared" si="47"/>
        <v>35.140615759800227</v>
      </c>
    </row>
    <row r="1494" spans="1:16" ht="15">
      <c r="A1494" s="3" t="str">
        <f>"059881"</f>
        <v>059881</v>
      </c>
      <c r="B1494" s="3" t="s">
        <v>2689</v>
      </c>
      <c r="C1494" s="61" t="s">
        <v>3284</v>
      </c>
      <c r="D1494" s="3" t="s">
        <v>3249</v>
      </c>
      <c r="E1494" s="3">
        <v>1</v>
      </c>
      <c r="F1494" s="3" t="s">
        <v>3220</v>
      </c>
      <c r="G1494" s="9">
        <v>177</v>
      </c>
      <c r="H1494" s="66">
        <v>5221.5</v>
      </c>
      <c r="I1494" s="9">
        <v>200.06380000000001</v>
      </c>
      <c r="J1494" s="10">
        <v>1.13030395480226</v>
      </c>
      <c r="K1494" s="66">
        <v>1218.1212607558984</v>
      </c>
      <c r="L1494" s="69">
        <v>6439.6212607558982</v>
      </c>
      <c r="M1494" s="64">
        <v>0</v>
      </c>
      <c r="N1494" s="67">
        <v>0</v>
      </c>
      <c r="O1494" s="64">
        <f t="shared" si="46"/>
        <v>6439.6212607558982</v>
      </c>
      <c r="P1494" s="64">
        <f t="shared" si="47"/>
        <v>36.382041021219763</v>
      </c>
    </row>
    <row r="1495" spans="1:16" ht="15">
      <c r="A1495" s="3" t="str">
        <f>"059691"</f>
        <v>059691</v>
      </c>
      <c r="B1495" s="3" t="s">
        <v>2756</v>
      </c>
      <c r="C1495" s="61" t="s">
        <v>3284</v>
      </c>
      <c r="D1495" s="3" t="s">
        <v>3249</v>
      </c>
      <c r="E1495" s="3">
        <v>1</v>
      </c>
      <c r="F1495" s="3" t="s">
        <v>3220</v>
      </c>
      <c r="G1495" s="9">
        <v>344</v>
      </c>
      <c r="H1495" s="66">
        <v>10148</v>
      </c>
      <c r="I1495" s="9">
        <v>382.39879999999994</v>
      </c>
      <c r="J1495" s="10">
        <v>1.1116244186046509</v>
      </c>
      <c r="K1495" s="66">
        <v>2028.0437164523403</v>
      </c>
      <c r="L1495" s="69">
        <v>12176.043716452341</v>
      </c>
      <c r="M1495" s="64">
        <v>0</v>
      </c>
      <c r="N1495" s="67">
        <v>0</v>
      </c>
      <c r="O1495" s="64">
        <f t="shared" si="46"/>
        <v>12176.043716452341</v>
      </c>
      <c r="P1495" s="64">
        <f t="shared" si="47"/>
        <v>35.395475919919598</v>
      </c>
    </row>
    <row r="1496" spans="1:16" ht="15">
      <c r="A1496" s="3" t="str">
        <f>"059956"</f>
        <v>059956</v>
      </c>
      <c r="B1496" s="3" t="s">
        <v>2867</v>
      </c>
      <c r="C1496" s="61" t="s">
        <v>3284</v>
      </c>
      <c r="D1496" s="3" t="s">
        <v>3249</v>
      </c>
      <c r="E1496" s="3">
        <v>1</v>
      </c>
      <c r="F1496" s="3" t="s">
        <v>3220</v>
      </c>
      <c r="G1496" s="9">
        <v>329</v>
      </c>
      <c r="H1496" s="66">
        <v>9705.5</v>
      </c>
      <c r="I1496" s="9">
        <v>347.06020000000001</v>
      </c>
      <c r="J1496" s="10">
        <v>1.0548942249240121</v>
      </c>
      <c r="K1496" s="66">
        <v>953.85468108046689</v>
      </c>
      <c r="L1496" s="69">
        <v>10659.354681080467</v>
      </c>
      <c r="M1496" s="64">
        <v>0</v>
      </c>
      <c r="N1496" s="67">
        <v>0</v>
      </c>
      <c r="O1496" s="64">
        <f t="shared" si="46"/>
        <v>10659.354681080467</v>
      </c>
      <c r="P1496" s="64">
        <f t="shared" si="47"/>
        <v>32.399254349788656</v>
      </c>
    </row>
    <row r="1497" spans="1:16" ht="15">
      <c r="A1497" s="3" t="str">
        <f>"059717"</f>
        <v>059717</v>
      </c>
      <c r="B1497" s="3" t="s">
        <v>2673</v>
      </c>
      <c r="C1497" s="61" t="s">
        <v>3284</v>
      </c>
      <c r="D1497" s="3" t="s">
        <v>3249</v>
      </c>
      <c r="E1497" s="3">
        <v>1</v>
      </c>
      <c r="F1497" s="3" t="s">
        <v>3220</v>
      </c>
      <c r="G1497" s="9">
        <v>139</v>
      </c>
      <c r="H1497" s="66">
        <v>4100.5</v>
      </c>
      <c r="I1497" s="9">
        <v>174.8664</v>
      </c>
      <c r="J1497" s="10">
        <v>1.2580316546762589</v>
      </c>
      <c r="K1497" s="66">
        <v>1894.2942787734598</v>
      </c>
      <c r="L1497" s="69">
        <v>5994.7942787734601</v>
      </c>
      <c r="M1497" s="64">
        <v>0</v>
      </c>
      <c r="N1497" s="67">
        <v>0</v>
      </c>
      <c r="O1497" s="64">
        <f t="shared" si="46"/>
        <v>5994.7942787734601</v>
      </c>
      <c r="P1497" s="64">
        <f t="shared" si="47"/>
        <v>43.128016394053667</v>
      </c>
    </row>
    <row r="1498" spans="1:16" ht="15">
      <c r="A1498" s="3" t="str">
        <f>"053827"</f>
        <v>053827</v>
      </c>
      <c r="B1498" s="3" t="s">
        <v>2907</v>
      </c>
      <c r="C1498" s="61" t="s">
        <v>3284</v>
      </c>
      <c r="D1498" s="3" t="s">
        <v>3249</v>
      </c>
      <c r="E1498" s="3">
        <v>1</v>
      </c>
      <c r="F1498" s="3" t="s">
        <v>3220</v>
      </c>
      <c r="G1498" s="9">
        <v>322</v>
      </c>
      <c r="H1498" s="66">
        <v>9499</v>
      </c>
      <c r="I1498" s="9">
        <v>361.94639999999998</v>
      </c>
      <c r="J1498" s="10">
        <v>1.1240571428571429</v>
      </c>
      <c r="K1498" s="66">
        <v>2109.7806575958589</v>
      </c>
      <c r="L1498" s="69">
        <v>11608.780657595858</v>
      </c>
      <c r="M1498" s="64">
        <v>0</v>
      </c>
      <c r="N1498" s="67">
        <v>0</v>
      </c>
      <c r="O1498" s="64">
        <f t="shared" si="46"/>
        <v>11608.780657595858</v>
      </c>
      <c r="P1498" s="64">
        <f t="shared" si="47"/>
        <v>36.052113843465399</v>
      </c>
    </row>
    <row r="1499" spans="1:16" ht="15">
      <c r="A1499" s="3" t="s">
        <v>524</v>
      </c>
      <c r="B1499" s="3" t="s">
        <v>525</v>
      </c>
      <c r="C1499" s="61" t="s">
        <v>3284</v>
      </c>
      <c r="D1499" s="3" t="s">
        <v>456</v>
      </c>
      <c r="E1499" s="3">
        <v>1</v>
      </c>
      <c r="F1499" s="3" t="s">
        <v>1897</v>
      </c>
      <c r="G1499" s="9">
        <v>601.218975</v>
      </c>
      <c r="H1499" s="66">
        <v>17735.959762499999</v>
      </c>
      <c r="I1499" s="9">
        <v>804.60368197994603</v>
      </c>
      <c r="J1499" s="10">
        <v>1.3382872388216722</v>
      </c>
      <c r="K1499" s="66">
        <v>10741.822062491032</v>
      </c>
      <c r="L1499" s="69">
        <v>28477.781824991031</v>
      </c>
      <c r="M1499" s="64">
        <v>0</v>
      </c>
      <c r="N1499" s="67">
        <v>0</v>
      </c>
      <c r="O1499" s="64">
        <f t="shared" si="46"/>
        <v>28477.781824991031</v>
      </c>
      <c r="P1499" s="64">
        <f t="shared" si="47"/>
        <v>47.366738258703549</v>
      </c>
    </row>
    <row r="1500" spans="1:16" ht="15">
      <c r="A1500" s="19">
        <v>66324</v>
      </c>
      <c r="B1500" s="20" t="s">
        <v>1930</v>
      </c>
      <c r="C1500" s="61" t="s">
        <v>3284</v>
      </c>
      <c r="D1500" s="19" t="s">
        <v>1973</v>
      </c>
      <c r="E1500" s="19">
        <v>1</v>
      </c>
      <c r="F1500" s="19" t="s">
        <v>1974</v>
      </c>
      <c r="G1500" s="9">
        <v>113.7</v>
      </c>
      <c r="H1500" s="66">
        <v>3354.15</v>
      </c>
      <c r="I1500" s="9">
        <v>533.89132500000005</v>
      </c>
      <c r="J1500" s="10">
        <v>4.6956141160949869</v>
      </c>
      <c r="K1500" s="66">
        <v>22192.526234518646</v>
      </c>
      <c r="L1500" s="69">
        <v>25546.676234518647</v>
      </c>
      <c r="M1500" s="64">
        <v>0</v>
      </c>
      <c r="N1500" s="67">
        <v>0</v>
      </c>
      <c r="O1500" s="64">
        <f t="shared" si="46"/>
        <v>25546.676234518647</v>
      </c>
      <c r="P1500" s="64">
        <f t="shared" si="47"/>
        <v>224.68492730447358</v>
      </c>
    </row>
    <row r="1501" spans="1:16" ht="15">
      <c r="A1501" s="3" t="s">
        <v>405</v>
      </c>
      <c r="B1501" s="3" t="s">
        <v>1836</v>
      </c>
      <c r="C1501" s="61" t="s">
        <v>3284</v>
      </c>
      <c r="D1501" s="3" t="s">
        <v>1684</v>
      </c>
      <c r="E1501" s="3">
        <v>1</v>
      </c>
      <c r="F1501" s="3" t="s">
        <v>3266</v>
      </c>
      <c r="G1501" s="9">
        <v>123.083324</v>
      </c>
      <c r="H1501" s="66">
        <v>3630.9580580000002</v>
      </c>
      <c r="I1501" s="9">
        <v>170.06393585935999</v>
      </c>
      <c r="J1501" s="10">
        <v>1.3816976202183164</v>
      </c>
      <c r="K1501" s="66">
        <v>2481.2945893221004</v>
      </c>
      <c r="L1501" s="69">
        <v>6112.2526473221005</v>
      </c>
      <c r="M1501" s="64">
        <v>0</v>
      </c>
      <c r="N1501" s="67">
        <v>0</v>
      </c>
      <c r="O1501" s="64">
        <f t="shared" si="46"/>
        <v>6112.2526473221005</v>
      </c>
      <c r="P1501" s="64">
        <f t="shared" si="47"/>
        <v>49.659470094601119</v>
      </c>
    </row>
    <row r="1502" spans="1:16" ht="15">
      <c r="A1502" s="3" t="str">
        <f>"059634"</f>
        <v>059634</v>
      </c>
      <c r="B1502" s="3" t="s">
        <v>2712</v>
      </c>
      <c r="C1502" s="61" t="s">
        <v>3284</v>
      </c>
      <c r="D1502" s="3" t="s">
        <v>3249</v>
      </c>
      <c r="E1502" s="3">
        <v>1</v>
      </c>
      <c r="F1502" s="3" t="s">
        <v>3220</v>
      </c>
      <c r="G1502" s="9">
        <v>100</v>
      </c>
      <c r="H1502" s="66">
        <v>2950</v>
      </c>
      <c r="I1502" s="9">
        <v>107.56180000000001</v>
      </c>
      <c r="J1502" s="10">
        <v>1.075618</v>
      </c>
      <c r="K1502" s="66">
        <v>399.37865180863309</v>
      </c>
      <c r="L1502" s="69">
        <v>3349.3786518086331</v>
      </c>
      <c r="M1502" s="64">
        <v>0</v>
      </c>
      <c r="N1502" s="67">
        <v>0</v>
      </c>
      <c r="O1502" s="64">
        <f t="shared" si="46"/>
        <v>3349.3786518086331</v>
      </c>
      <c r="P1502" s="64">
        <f t="shared" si="47"/>
        <v>33.493786518086331</v>
      </c>
    </row>
    <row r="1503" spans="1:16" ht="15">
      <c r="A1503" s="3" t="s">
        <v>350</v>
      </c>
      <c r="B1503" s="3" t="s">
        <v>1835</v>
      </c>
      <c r="C1503" s="61" t="s">
        <v>3284</v>
      </c>
      <c r="D1503" s="3" t="s">
        <v>1684</v>
      </c>
      <c r="E1503" s="3">
        <v>1</v>
      </c>
      <c r="F1503" s="3" t="s">
        <v>3266</v>
      </c>
      <c r="G1503" s="9">
        <v>142.777602</v>
      </c>
      <c r="H1503" s="66">
        <v>4211.9392589999998</v>
      </c>
      <c r="I1503" s="9">
        <v>304.98796442492102</v>
      </c>
      <c r="J1503" s="10">
        <v>2.1361051043911008</v>
      </c>
      <c r="K1503" s="66">
        <v>8567.1871584351175</v>
      </c>
      <c r="L1503" s="69">
        <v>12779.126417435116</v>
      </c>
      <c r="M1503" s="64">
        <v>0</v>
      </c>
      <c r="N1503" s="67">
        <v>0</v>
      </c>
      <c r="O1503" s="64">
        <f t="shared" si="46"/>
        <v>12779.126417435116</v>
      </c>
      <c r="P1503" s="64">
        <f t="shared" si="47"/>
        <v>89.503719339922213</v>
      </c>
    </row>
    <row r="1504" spans="1:16" ht="15">
      <c r="A1504" s="3" t="s">
        <v>22</v>
      </c>
      <c r="B1504" s="3" t="s">
        <v>23</v>
      </c>
      <c r="C1504" s="61" t="s">
        <v>3284</v>
      </c>
      <c r="D1504" s="3" t="s">
        <v>1684</v>
      </c>
      <c r="E1504" s="3">
        <v>1</v>
      </c>
      <c r="F1504" s="3" t="s">
        <v>3266</v>
      </c>
      <c r="G1504" s="9">
        <v>105.760735</v>
      </c>
      <c r="H1504" s="66">
        <v>3119.9416824999998</v>
      </c>
      <c r="I1504" s="9">
        <v>270.81245634820999</v>
      </c>
      <c r="J1504" s="10">
        <v>2.5606143560576617</v>
      </c>
      <c r="K1504" s="66">
        <v>8717.2543509141015</v>
      </c>
      <c r="L1504" s="69">
        <v>11837.1960334141</v>
      </c>
      <c r="M1504" s="64">
        <v>0</v>
      </c>
      <c r="N1504" s="67">
        <v>0</v>
      </c>
      <c r="O1504" s="64">
        <f t="shared" si="46"/>
        <v>11837.1960334141</v>
      </c>
      <c r="P1504" s="64">
        <f t="shared" si="47"/>
        <v>111.92429811890113</v>
      </c>
    </row>
    <row r="1505" spans="1:16" ht="15">
      <c r="A1505" s="3" t="str">
        <f>"015489"</f>
        <v>015489</v>
      </c>
      <c r="B1505" s="3" t="s">
        <v>3176</v>
      </c>
      <c r="C1505" s="61" t="s">
        <v>3284</v>
      </c>
      <c r="D1505" s="3" t="s">
        <v>3249</v>
      </c>
      <c r="E1505" s="3">
        <v>1</v>
      </c>
      <c r="F1505" s="3" t="s">
        <v>3220</v>
      </c>
      <c r="G1505" s="9">
        <v>62</v>
      </c>
      <c r="H1505" s="66">
        <v>1829</v>
      </c>
      <c r="I1505" s="9">
        <v>62</v>
      </c>
      <c r="J1505" s="10">
        <v>1</v>
      </c>
      <c r="K1505" s="66">
        <v>0</v>
      </c>
      <c r="L1505" s="69">
        <v>1829</v>
      </c>
      <c r="M1505" s="64">
        <v>0</v>
      </c>
      <c r="N1505" s="67">
        <v>0</v>
      </c>
      <c r="O1505" s="64">
        <f t="shared" si="46"/>
        <v>1829</v>
      </c>
      <c r="P1505" s="64">
        <f t="shared" si="47"/>
        <v>29.5</v>
      </c>
    </row>
    <row r="1506" spans="1:16" ht="15">
      <c r="A1506" s="3" t="s">
        <v>1549</v>
      </c>
      <c r="B1506" s="3" t="s">
        <v>1550</v>
      </c>
      <c r="C1506" s="61" t="s">
        <v>3284</v>
      </c>
      <c r="D1506" s="3" t="s">
        <v>3248</v>
      </c>
      <c r="E1506" s="3">
        <v>1</v>
      </c>
      <c r="F1506" s="3" t="s">
        <v>3224</v>
      </c>
      <c r="G1506" s="9">
        <v>1309.17651</v>
      </c>
      <c r="H1506" s="66">
        <v>38620.707045000003</v>
      </c>
      <c r="I1506" s="9">
        <v>1516.3275615468101</v>
      </c>
      <c r="J1506" s="10">
        <v>1.1582300400018712</v>
      </c>
      <c r="K1506" s="66">
        <v>10940.742638988815</v>
      </c>
      <c r="L1506" s="69">
        <v>49561.449683988816</v>
      </c>
      <c r="M1506" s="64">
        <v>820638.72183254757</v>
      </c>
      <c r="N1506" s="67">
        <v>16449.130112255381</v>
      </c>
      <c r="O1506" s="64">
        <f t="shared" si="46"/>
        <v>66010.579796244201</v>
      </c>
      <c r="P1506" s="64">
        <f t="shared" si="47"/>
        <v>50.421451417765049</v>
      </c>
    </row>
    <row r="1507" spans="1:16" ht="15">
      <c r="A1507" s="3" t="str">
        <f>"119990"</f>
        <v>119990</v>
      </c>
      <c r="B1507" s="3" t="s">
        <v>3067</v>
      </c>
      <c r="C1507" s="61" t="s">
        <v>3284</v>
      </c>
      <c r="D1507" s="3" t="s">
        <v>3249</v>
      </c>
      <c r="E1507" s="3">
        <v>1</v>
      </c>
      <c r="F1507" s="3" t="s">
        <v>3220</v>
      </c>
      <c r="G1507" s="9">
        <v>64</v>
      </c>
      <c r="H1507" s="66">
        <v>1888</v>
      </c>
      <c r="I1507" s="9">
        <v>64</v>
      </c>
      <c r="J1507" s="10">
        <v>1</v>
      </c>
      <c r="K1507" s="66">
        <v>0</v>
      </c>
      <c r="L1507" s="69">
        <v>1888</v>
      </c>
      <c r="M1507" s="64">
        <v>0</v>
      </c>
      <c r="N1507" s="67">
        <v>0</v>
      </c>
      <c r="O1507" s="64">
        <f t="shared" si="46"/>
        <v>1888</v>
      </c>
      <c r="P1507" s="64">
        <f t="shared" si="47"/>
        <v>29.5</v>
      </c>
    </row>
    <row r="1508" spans="1:16" ht="15">
      <c r="A1508" s="3" t="s">
        <v>545</v>
      </c>
      <c r="B1508" s="3" t="s">
        <v>546</v>
      </c>
      <c r="C1508" s="61" t="s">
        <v>3278</v>
      </c>
      <c r="D1508" s="3" t="s">
        <v>3248</v>
      </c>
      <c r="E1508" s="3">
        <v>1</v>
      </c>
      <c r="F1508" s="3" t="s">
        <v>1908</v>
      </c>
      <c r="G1508" s="9">
        <v>21180.549867999998</v>
      </c>
      <c r="H1508" s="66">
        <v>624826.2211059999</v>
      </c>
      <c r="I1508" s="9">
        <v>30931.280382232599</v>
      </c>
      <c r="J1508" s="10">
        <v>1.4603624823246066</v>
      </c>
      <c r="K1508" s="66">
        <v>514987.64935908292</v>
      </c>
      <c r="L1508" s="69">
        <v>1139813.8704650828</v>
      </c>
      <c r="M1508" s="64">
        <v>6180829.3591367817</v>
      </c>
      <c r="N1508" s="67">
        <v>123890.40831884451</v>
      </c>
      <c r="O1508" s="64">
        <f t="shared" si="46"/>
        <v>1263704.2787839272</v>
      </c>
      <c r="P1508" s="64">
        <f t="shared" si="47"/>
        <v>59.663431150725557</v>
      </c>
    </row>
    <row r="1509" spans="1:16" ht="15">
      <c r="A1509" s="3" t="str">
        <f>"126151"</f>
        <v>126151</v>
      </c>
      <c r="B1509" s="3" t="s">
        <v>3056</v>
      </c>
      <c r="C1509" s="61" t="s">
        <v>3278</v>
      </c>
      <c r="D1509" s="3" t="s">
        <v>3249</v>
      </c>
      <c r="E1509" s="3">
        <v>1</v>
      </c>
      <c r="F1509" s="3" t="s">
        <v>3220</v>
      </c>
      <c r="G1509" s="9">
        <v>12</v>
      </c>
      <c r="H1509" s="66">
        <v>354</v>
      </c>
      <c r="I1509" s="9">
        <v>12</v>
      </c>
      <c r="J1509" s="10">
        <v>1</v>
      </c>
      <c r="K1509" s="66">
        <v>0</v>
      </c>
      <c r="L1509" s="69">
        <v>354</v>
      </c>
      <c r="M1509" s="64">
        <v>0</v>
      </c>
      <c r="N1509" s="67">
        <v>0</v>
      </c>
      <c r="O1509" s="64">
        <f t="shared" si="46"/>
        <v>354</v>
      </c>
      <c r="P1509" s="64">
        <f t="shared" si="47"/>
        <v>29.5</v>
      </c>
    </row>
    <row r="1510" spans="1:16" ht="15">
      <c r="A1510" s="3" t="s">
        <v>285</v>
      </c>
      <c r="B1510" s="3" t="s">
        <v>286</v>
      </c>
      <c r="C1510" s="61" t="s">
        <v>3278</v>
      </c>
      <c r="D1510" s="3" t="s">
        <v>1684</v>
      </c>
      <c r="E1510" s="3">
        <v>1</v>
      </c>
      <c r="F1510" s="3" t="s">
        <v>3266</v>
      </c>
      <c r="G1510" s="9">
        <v>218.09090599999999</v>
      </c>
      <c r="H1510" s="66">
        <v>6433.6817270000001</v>
      </c>
      <c r="I1510" s="9">
        <v>302.22059554253798</v>
      </c>
      <c r="J1510" s="10">
        <v>1.3857551471794884</v>
      </c>
      <c r="K1510" s="66">
        <v>4443.3338605328972</v>
      </c>
      <c r="L1510" s="69">
        <v>10877.015587532896</v>
      </c>
      <c r="M1510" s="64">
        <v>0</v>
      </c>
      <c r="N1510" s="67">
        <v>0</v>
      </c>
      <c r="O1510" s="64">
        <f t="shared" si="46"/>
        <v>10877.015587532896</v>
      </c>
      <c r="P1510" s="64">
        <f t="shared" si="47"/>
        <v>49.873769553384754</v>
      </c>
    </row>
    <row r="1511" spans="1:16" ht="15">
      <c r="A1511" s="3" t="s">
        <v>245</v>
      </c>
      <c r="B1511" s="3" t="s">
        <v>246</v>
      </c>
      <c r="C1511" s="61" t="s">
        <v>3278</v>
      </c>
      <c r="D1511" s="3" t="s">
        <v>1684</v>
      </c>
      <c r="E1511" s="3">
        <v>1</v>
      </c>
      <c r="F1511" s="3" t="s">
        <v>3266</v>
      </c>
      <c r="G1511" s="9">
        <v>121.51149599999999</v>
      </c>
      <c r="H1511" s="66">
        <v>3584.5891319999996</v>
      </c>
      <c r="I1511" s="9">
        <v>176.54955305906799</v>
      </c>
      <c r="J1511" s="10">
        <v>1.4529452674919581</v>
      </c>
      <c r="K1511" s="66">
        <v>2906.8508855586215</v>
      </c>
      <c r="L1511" s="69">
        <v>6491.4400175586215</v>
      </c>
      <c r="M1511" s="64">
        <v>0</v>
      </c>
      <c r="N1511" s="67">
        <v>0</v>
      </c>
      <c r="O1511" s="64">
        <f t="shared" si="46"/>
        <v>6491.4400175586215</v>
      </c>
      <c r="P1511" s="64">
        <f t="shared" si="47"/>
        <v>53.422435170731681</v>
      </c>
    </row>
    <row r="1512" spans="1:16" ht="15">
      <c r="A1512" s="3" t="s">
        <v>425</v>
      </c>
      <c r="B1512" s="61" t="s">
        <v>426</v>
      </c>
      <c r="C1512" s="61" t="s">
        <v>3278</v>
      </c>
      <c r="D1512" s="3" t="s">
        <v>1684</v>
      </c>
      <c r="E1512" s="3">
        <v>1</v>
      </c>
      <c r="F1512" s="3" t="s">
        <v>3267</v>
      </c>
      <c r="G1512" s="9">
        <v>1939.906804</v>
      </c>
      <c r="H1512" s="66">
        <v>11445.450143599999</v>
      </c>
      <c r="I1512" s="9">
        <v>2536.1471705846702</v>
      </c>
      <c r="J1512" s="10">
        <v>1.3073551602351461</v>
      </c>
      <c r="K1512" s="66">
        <v>0</v>
      </c>
      <c r="L1512" s="69">
        <v>11445.450143599999</v>
      </c>
      <c r="M1512" s="64">
        <v>0</v>
      </c>
      <c r="N1512" s="67">
        <v>0</v>
      </c>
      <c r="O1512" s="64">
        <f t="shared" si="46"/>
        <v>11445.450143599999</v>
      </c>
      <c r="P1512" s="64">
        <f t="shared" si="47"/>
        <v>5.8999999999999995</v>
      </c>
    </row>
    <row r="1513" spans="1:16" ht="15">
      <c r="A1513" s="3" t="str">
        <f>"052639"</f>
        <v>052639</v>
      </c>
      <c r="B1513" s="3" t="s">
        <v>2862</v>
      </c>
      <c r="C1513" s="61" t="s">
        <v>3278</v>
      </c>
      <c r="D1513" s="3" t="s">
        <v>3249</v>
      </c>
      <c r="E1513" s="3">
        <v>1</v>
      </c>
      <c r="F1513" s="3" t="s">
        <v>3220</v>
      </c>
      <c r="G1513" s="9">
        <v>797</v>
      </c>
      <c r="H1513" s="66">
        <v>23511.5</v>
      </c>
      <c r="I1513" s="9">
        <v>826.56020000000001</v>
      </c>
      <c r="J1513" s="10">
        <v>1.0370893350062735</v>
      </c>
      <c r="K1513" s="66">
        <v>1561.2305037416425</v>
      </c>
      <c r="L1513" s="69">
        <v>25072.730503741641</v>
      </c>
      <c r="M1513" s="64">
        <v>0</v>
      </c>
      <c r="N1513" s="67">
        <v>0</v>
      </c>
      <c r="O1513" s="64">
        <f t="shared" si="46"/>
        <v>25072.730503741641</v>
      </c>
      <c r="P1513" s="64">
        <f t="shared" si="47"/>
        <v>31.458883944468809</v>
      </c>
    </row>
    <row r="1514" spans="1:16" ht="15">
      <c r="A1514" s="3" t="str">
        <f>"113050"</f>
        <v>113050</v>
      </c>
      <c r="B1514" s="3" t="s">
        <v>2666</v>
      </c>
      <c r="C1514" s="61" t="s">
        <v>3278</v>
      </c>
      <c r="D1514" s="3" t="s">
        <v>3249</v>
      </c>
      <c r="E1514" s="3">
        <v>1</v>
      </c>
      <c r="F1514" s="3" t="s">
        <v>3220</v>
      </c>
      <c r="G1514" s="9">
        <v>100</v>
      </c>
      <c r="H1514" s="66">
        <v>2950</v>
      </c>
      <c r="I1514" s="9">
        <v>110.31219999999999</v>
      </c>
      <c r="J1514" s="10">
        <v>1.1031219999999999</v>
      </c>
      <c r="K1514" s="66">
        <v>544.64182247361475</v>
      </c>
      <c r="L1514" s="69">
        <v>3494.6418224736149</v>
      </c>
      <c r="M1514" s="64">
        <v>0</v>
      </c>
      <c r="N1514" s="67">
        <v>0</v>
      </c>
      <c r="O1514" s="64">
        <f t="shared" si="46"/>
        <v>3494.6418224736149</v>
      </c>
      <c r="P1514" s="64">
        <f t="shared" si="47"/>
        <v>34.946418224736149</v>
      </c>
    </row>
    <row r="1515" spans="1:16" ht="15">
      <c r="A1515" s="3" t="s">
        <v>555</v>
      </c>
      <c r="B1515" s="3" t="s">
        <v>556</v>
      </c>
      <c r="C1515" s="61" t="s">
        <v>3278</v>
      </c>
      <c r="D1515" s="3" t="s">
        <v>3248</v>
      </c>
      <c r="E1515" s="3">
        <v>1</v>
      </c>
      <c r="F1515" s="3" t="s">
        <v>1909</v>
      </c>
      <c r="G1515" s="9">
        <v>3785.603697</v>
      </c>
      <c r="H1515" s="66">
        <v>111675.3090615</v>
      </c>
      <c r="I1515" s="9">
        <v>5067.2770410022204</v>
      </c>
      <c r="J1515" s="10">
        <v>1.338565113146396</v>
      </c>
      <c r="K1515" s="66">
        <v>67691.947973586823</v>
      </c>
      <c r="L1515" s="69">
        <v>179367.2570350868</v>
      </c>
      <c r="M1515" s="64">
        <v>1424183.9956698339</v>
      </c>
      <c r="N1515" s="67">
        <v>28546.773659731203</v>
      </c>
      <c r="O1515" s="64">
        <f t="shared" si="46"/>
        <v>207914.03069481801</v>
      </c>
      <c r="P1515" s="64">
        <f t="shared" si="47"/>
        <v>54.922291749552357</v>
      </c>
    </row>
    <row r="1516" spans="1:16" ht="15">
      <c r="A1516" s="3" t="str">
        <f>"071571"</f>
        <v>071571</v>
      </c>
      <c r="B1516" s="3" t="s">
        <v>3113</v>
      </c>
      <c r="C1516" s="61" t="s">
        <v>3278</v>
      </c>
      <c r="D1516" s="3" t="s">
        <v>3249</v>
      </c>
      <c r="E1516" s="3">
        <v>1</v>
      </c>
      <c r="F1516" s="3" t="s">
        <v>3220</v>
      </c>
      <c r="G1516" s="9">
        <v>190</v>
      </c>
      <c r="H1516" s="66">
        <v>5605</v>
      </c>
      <c r="I1516" s="9">
        <v>190</v>
      </c>
      <c r="J1516" s="10">
        <v>1</v>
      </c>
      <c r="K1516" s="66">
        <v>0</v>
      </c>
      <c r="L1516" s="69">
        <v>5605</v>
      </c>
      <c r="M1516" s="64">
        <v>0</v>
      </c>
      <c r="N1516" s="67">
        <v>0</v>
      </c>
      <c r="O1516" s="64">
        <f t="shared" si="46"/>
        <v>5605</v>
      </c>
      <c r="P1516" s="64">
        <f t="shared" si="47"/>
        <v>29.5</v>
      </c>
    </row>
    <row r="1517" spans="1:16" ht="15">
      <c r="A1517" s="3" t="str">
        <f>"060657"</f>
        <v>060657</v>
      </c>
      <c r="B1517" s="3" t="s">
        <v>3132</v>
      </c>
      <c r="C1517" s="61" t="s">
        <v>3278</v>
      </c>
      <c r="D1517" s="3" t="s">
        <v>3249</v>
      </c>
      <c r="E1517" s="3">
        <v>1</v>
      </c>
      <c r="F1517" s="3" t="s">
        <v>3220</v>
      </c>
      <c r="G1517" s="9">
        <v>212</v>
      </c>
      <c r="H1517" s="66">
        <v>6254</v>
      </c>
      <c r="I1517" s="9">
        <v>212</v>
      </c>
      <c r="J1517" s="10">
        <v>1</v>
      </c>
      <c r="K1517" s="66">
        <v>0</v>
      </c>
      <c r="L1517" s="69">
        <v>6254</v>
      </c>
      <c r="M1517" s="64">
        <v>0</v>
      </c>
      <c r="N1517" s="67">
        <v>0</v>
      </c>
      <c r="O1517" s="64">
        <f t="shared" si="46"/>
        <v>6254</v>
      </c>
      <c r="P1517" s="64">
        <f t="shared" si="47"/>
        <v>29.5</v>
      </c>
    </row>
    <row r="1518" spans="1:16" ht="15">
      <c r="A1518" s="3" t="s">
        <v>1553</v>
      </c>
      <c r="B1518" s="3" t="s">
        <v>1554</v>
      </c>
      <c r="C1518" s="61" t="s">
        <v>3278</v>
      </c>
      <c r="D1518" s="3" t="s">
        <v>3248</v>
      </c>
      <c r="E1518" s="3">
        <v>1</v>
      </c>
      <c r="F1518" s="3" t="s">
        <v>1907</v>
      </c>
      <c r="G1518" s="9">
        <v>2795.6016020000002</v>
      </c>
      <c r="H1518" s="66">
        <v>82470.247259000011</v>
      </c>
      <c r="I1518" s="9">
        <v>3258.59908496758</v>
      </c>
      <c r="J1518" s="10">
        <v>1.1656164035091219</v>
      </c>
      <c r="K1518" s="66">
        <v>24453.345835433687</v>
      </c>
      <c r="L1518" s="69">
        <v>106923.5930944337</v>
      </c>
      <c r="M1518" s="64">
        <v>1957796.0852154209</v>
      </c>
      <c r="N1518" s="67">
        <v>39242.655363688726</v>
      </c>
      <c r="O1518" s="64">
        <f t="shared" si="46"/>
        <v>146166.24845812243</v>
      </c>
      <c r="P1518" s="64">
        <f t="shared" si="47"/>
        <v>52.284362819635561</v>
      </c>
    </row>
    <row r="1519" spans="1:16" ht="15">
      <c r="A1519" s="3" t="str">
        <f>"134460"</f>
        <v>134460</v>
      </c>
      <c r="B1519" s="3" t="s">
        <v>2763</v>
      </c>
      <c r="C1519" s="61" t="s">
        <v>3278</v>
      </c>
      <c r="D1519" s="3" t="s">
        <v>3249</v>
      </c>
      <c r="E1519" s="3">
        <v>1</v>
      </c>
      <c r="F1519" s="3" t="s">
        <v>3220</v>
      </c>
      <c r="G1519" s="9">
        <v>110</v>
      </c>
      <c r="H1519" s="66">
        <v>3245</v>
      </c>
      <c r="I1519" s="9">
        <v>118.8488</v>
      </c>
      <c r="J1519" s="10">
        <v>1.0804436363636363</v>
      </c>
      <c r="K1519" s="66">
        <v>467.3519286577573</v>
      </c>
      <c r="L1519" s="69">
        <v>3712.3519286577575</v>
      </c>
      <c r="M1519" s="64">
        <v>0</v>
      </c>
      <c r="N1519" s="67">
        <v>0</v>
      </c>
      <c r="O1519" s="64">
        <f t="shared" si="46"/>
        <v>3712.3519286577575</v>
      </c>
      <c r="P1519" s="64">
        <f t="shared" si="47"/>
        <v>33.748653896888705</v>
      </c>
    </row>
    <row r="1520" spans="1:16" ht="15">
      <c r="A1520" s="3" t="s">
        <v>1555</v>
      </c>
      <c r="B1520" s="3" t="s">
        <v>1556</v>
      </c>
      <c r="C1520" s="61" t="s">
        <v>3278</v>
      </c>
      <c r="D1520" s="3" t="s">
        <v>3248</v>
      </c>
      <c r="E1520" s="3">
        <v>1</v>
      </c>
      <c r="F1520" s="3" t="s">
        <v>1904</v>
      </c>
      <c r="G1520" s="9">
        <v>1831.479828</v>
      </c>
      <c r="H1520" s="66">
        <v>54028.654926000003</v>
      </c>
      <c r="I1520" s="9">
        <v>2292.19536536738</v>
      </c>
      <c r="J1520" s="10">
        <v>1.2515537055466712</v>
      </c>
      <c r="K1520" s="66">
        <v>24332.824219243306</v>
      </c>
      <c r="L1520" s="69">
        <v>78361.479145243313</v>
      </c>
      <c r="M1520" s="64">
        <v>1124587.6900638482</v>
      </c>
      <c r="N1520" s="67">
        <v>22541.57492738395</v>
      </c>
      <c r="O1520" s="64">
        <f t="shared" si="46"/>
        <v>100903.05407262726</v>
      </c>
      <c r="P1520" s="64">
        <f t="shared" si="47"/>
        <v>55.093729414871426</v>
      </c>
    </row>
    <row r="1521" spans="1:16" ht="15">
      <c r="A1521" s="3" t="s">
        <v>608</v>
      </c>
      <c r="B1521" s="3" t="s">
        <v>609</v>
      </c>
      <c r="C1521" s="61" t="s">
        <v>3278</v>
      </c>
      <c r="D1521" s="3" t="s">
        <v>3248</v>
      </c>
      <c r="E1521" s="3">
        <v>1</v>
      </c>
      <c r="F1521" s="3" t="s">
        <v>1906</v>
      </c>
      <c r="G1521" s="9">
        <v>4489.7985090000002</v>
      </c>
      <c r="H1521" s="66">
        <v>132449.05601550001</v>
      </c>
      <c r="I1521" s="9">
        <v>5630.3614539220698</v>
      </c>
      <c r="J1521" s="10">
        <v>1.2540343275173174</v>
      </c>
      <c r="K1521" s="66">
        <v>60239.161475556095</v>
      </c>
      <c r="L1521" s="69">
        <v>192688.2174910561</v>
      </c>
      <c r="M1521" s="64">
        <v>587076.62283333309</v>
      </c>
      <c r="N1521" s="67">
        <v>11767.54093845876</v>
      </c>
      <c r="O1521" s="64">
        <f t="shared" si="46"/>
        <v>204455.75842951486</v>
      </c>
      <c r="P1521" s="64">
        <f t="shared" si="47"/>
        <v>45.537847192847124</v>
      </c>
    </row>
    <row r="1522" spans="1:16" ht="15">
      <c r="A1522" s="3" t="str">
        <f>"067611"</f>
        <v>067611</v>
      </c>
      <c r="B1522" s="3" t="s">
        <v>2585</v>
      </c>
      <c r="C1522" s="61" t="s">
        <v>3278</v>
      </c>
      <c r="D1522" s="3" t="s">
        <v>3249</v>
      </c>
      <c r="E1522" s="3">
        <v>1</v>
      </c>
      <c r="F1522" s="3" t="s">
        <v>3220</v>
      </c>
      <c r="G1522" s="9">
        <v>850</v>
      </c>
      <c r="H1522" s="66">
        <v>25075</v>
      </c>
      <c r="I1522" s="9">
        <v>850</v>
      </c>
      <c r="J1522" s="10">
        <v>1</v>
      </c>
      <c r="K1522" s="66">
        <v>0</v>
      </c>
      <c r="L1522" s="69">
        <v>25075</v>
      </c>
      <c r="M1522" s="64">
        <v>0</v>
      </c>
      <c r="N1522" s="67">
        <v>0</v>
      </c>
      <c r="O1522" s="64">
        <f t="shared" si="46"/>
        <v>25075</v>
      </c>
      <c r="P1522" s="64">
        <f t="shared" si="47"/>
        <v>29.5</v>
      </c>
    </row>
    <row r="1523" spans="1:16" ht="15">
      <c r="A1523" s="3" t="s">
        <v>371</v>
      </c>
      <c r="B1523" s="3" t="s">
        <v>372</v>
      </c>
      <c r="C1523" s="61" t="s">
        <v>3278</v>
      </c>
      <c r="D1523" s="3" t="s">
        <v>1684</v>
      </c>
      <c r="E1523" s="3">
        <v>1</v>
      </c>
      <c r="F1523" s="3" t="s">
        <v>3266</v>
      </c>
      <c r="G1523" s="9">
        <v>239.06358399999999</v>
      </c>
      <c r="H1523" s="66">
        <v>7052.375728</v>
      </c>
      <c r="I1523" s="9">
        <v>329.282681339465</v>
      </c>
      <c r="J1523" s="10">
        <v>1.3773853626299897</v>
      </c>
      <c r="K1523" s="66">
        <v>4764.9476927222813</v>
      </c>
      <c r="L1523" s="69">
        <v>11817.323420722281</v>
      </c>
      <c r="M1523" s="64">
        <v>0</v>
      </c>
      <c r="N1523" s="67">
        <v>0</v>
      </c>
      <c r="O1523" s="64">
        <f t="shared" si="46"/>
        <v>11817.323420722281</v>
      </c>
      <c r="P1523" s="64">
        <f t="shared" si="47"/>
        <v>49.43171696414575</v>
      </c>
    </row>
    <row r="1524" spans="1:16" ht="15">
      <c r="A1524" s="3" t="str">
        <f>"120865"</f>
        <v>120865</v>
      </c>
      <c r="B1524" s="3" t="s">
        <v>2779</v>
      </c>
      <c r="C1524" s="61" t="s">
        <v>3278</v>
      </c>
      <c r="D1524" s="3" t="s">
        <v>3249</v>
      </c>
      <c r="E1524" s="3">
        <v>1</v>
      </c>
      <c r="F1524" s="3" t="s">
        <v>3220</v>
      </c>
      <c r="G1524" s="9">
        <v>190</v>
      </c>
      <c r="H1524" s="66">
        <v>5605</v>
      </c>
      <c r="I1524" s="9">
        <v>214.3862</v>
      </c>
      <c r="J1524" s="10">
        <v>1.1283484210526316</v>
      </c>
      <c r="K1524" s="66">
        <v>1287.9641988330402</v>
      </c>
      <c r="L1524" s="69">
        <v>6892.9641988330404</v>
      </c>
      <c r="M1524" s="64">
        <v>0</v>
      </c>
      <c r="N1524" s="67">
        <v>0</v>
      </c>
      <c r="O1524" s="64">
        <f t="shared" si="46"/>
        <v>6892.9641988330404</v>
      </c>
      <c r="P1524" s="64">
        <f t="shared" si="47"/>
        <v>36.278758941226528</v>
      </c>
    </row>
    <row r="1525" spans="1:16" ht="15">
      <c r="A1525" s="3" t="str">
        <f>"143248"</f>
        <v>143248</v>
      </c>
      <c r="B1525" s="3" t="s">
        <v>3034</v>
      </c>
      <c r="C1525" s="61" t="s">
        <v>3278</v>
      </c>
      <c r="D1525" s="3" t="s">
        <v>3249</v>
      </c>
      <c r="E1525" s="3">
        <v>1</v>
      </c>
      <c r="F1525" s="3" t="s">
        <v>3220</v>
      </c>
      <c r="G1525" s="9">
        <v>132</v>
      </c>
      <c r="H1525" s="66">
        <v>3894</v>
      </c>
      <c r="I1525" s="9">
        <v>132</v>
      </c>
      <c r="J1525" s="10">
        <v>1</v>
      </c>
      <c r="K1525" s="66">
        <v>0</v>
      </c>
      <c r="L1525" s="69">
        <v>3894</v>
      </c>
      <c r="M1525" s="64">
        <v>0</v>
      </c>
      <c r="N1525" s="67">
        <v>0</v>
      </c>
      <c r="O1525" s="64">
        <f t="shared" si="46"/>
        <v>3894</v>
      </c>
      <c r="P1525" s="64">
        <f t="shared" si="47"/>
        <v>29.5</v>
      </c>
    </row>
    <row r="1526" spans="1:16" ht="15">
      <c r="A1526" s="3" t="s">
        <v>190</v>
      </c>
      <c r="B1526" s="3" t="s">
        <v>191</v>
      </c>
      <c r="C1526" s="61" t="s">
        <v>3278</v>
      </c>
      <c r="D1526" s="3" t="s">
        <v>1684</v>
      </c>
      <c r="E1526" s="3">
        <v>1</v>
      </c>
      <c r="F1526" s="3" t="s">
        <v>3266</v>
      </c>
      <c r="G1526" s="9">
        <v>139.04562300000001</v>
      </c>
      <c r="H1526" s="66">
        <v>4101.8458785000003</v>
      </c>
      <c r="I1526" s="9">
        <v>159.53539526971599</v>
      </c>
      <c r="J1526" s="10">
        <v>1.1473600666287496</v>
      </c>
      <c r="K1526" s="66">
        <v>1082.173242474686</v>
      </c>
      <c r="L1526" s="69">
        <v>5184.0191209746863</v>
      </c>
      <c r="M1526" s="64">
        <v>0</v>
      </c>
      <c r="N1526" s="67">
        <v>0</v>
      </c>
      <c r="O1526" s="64">
        <f t="shared" si="46"/>
        <v>5184.0191209746863</v>
      </c>
      <c r="P1526" s="64">
        <f t="shared" si="47"/>
        <v>37.282864495308033</v>
      </c>
    </row>
    <row r="1527" spans="1:16" ht="15">
      <c r="A1527" s="3" t="s">
        <v>1558</v>
      </c>
      <c r="B1527" s="3" t="s">
        <v>1495</v>
      </c>
      <c r="C1527" s="61" t="s">
        <v>3278</v>
      </c>
      <c r="D1527" s="3" t="s">
        <v>3248</v>
      </c>
      <c r="E1527" s="3">
        <v>1</v>
      </c>
      <c r="F1527" s="3" t="s">
        <v>1906</v>
      </c>
      <c r="G1527" s="9">
        <v>3999.5753070000001</v>
      </c>
      <c r="H1527" s="66">
        <v>117987.47155650001</v>
      </c>
      <c r="I1527" s="9">
        <v>4720.6659061355704</v>
      </c>
      <c r="J1527" s="10">
        <v>1.1802917919493923</v>
      </c>
      <c r="K1527" s="66">
        <v>38084.608335931043</v>
      </c>
      <c r="L1527" s="69">
        <v>156072.07989243104</v>
      </c>
      <c r="M1527" s="64">
        <v>2957412.22497231</v>
      </c>
      <c r="N1527" s="67">
        <v>59279.262835066016</v>
      </c>
      <c r="O1527" s="64">
        <f t="shared" si="46"/>
        <v>215351.34272749705</v>
      </c>
      <c r="P1527" s="64">
        <f t="shared" si="47"/>
        <v>53.84355242682696</v>
      </c>
    </row>
    <row r="1528" spans="1:16" ht="15">
      <c r="A1528" s="3" t="str">
        <f>"057513"</f>
        <v>057513</v>
      </c>
      <c r="B1528" s="3" t="s">
        <v>2734</v>
      </c>
      <c r="C1528" s="61" t="s">
        <v>3278</v>
      </c>
      <c r="D1528" s="3" t="s">
        <v>3249</v>
      </c>
      <c r="E1528" s="3">
        <v>1</v>
      </c>
      <c r="F1528" s="3" t="s">
        <v>3220</v>
      </c>
      <c r="G1528" s="9">
        <v>311</v>
      </c>
      <c r="H1528" s="66">
        <v>9174.5</v>
      </c>
      <c r="I1528" s="9">
        <v>319.63659999999999</v>
      </c>
      <c r="J1528" s="10">
        <v>1.0277704180064309</v>
      </c>
      <c r="K1528" s="66">
        <v>456.14452434743498</v>
      </c>
      <c r="L1528" s="69">
        <v>9630.6445243474354</v>
      </c>
      <c r="M1528" s="64">
        <v>0</v>
      </c>
      <c r="N1528" s="67">
        <v>0</v>
      </c>
      <c r="O1528" s="64">
        <f t="shared" si="46"/>
        <v>9630.6445243474354</v>
      </c>
      <c r="P1528" s="64">
        <f t="shared" si="47"/>
        <v>30.96670265063484</v>
      </c>
    </row>
    <row r="1529" spans="1:16" ht="15">
      <c r="A1529" s="3" t="s">
        <v>1559</v>
      </c>
      <c r="B1529" s="3" t="s">
        <v>1560</v>
      </c>
      <c r="C1529" s="61" t="s">
        <v>3278</v>
      </c>
      <c r="D1529" s="3" t="s">
        <v>3248</v>
      </c>
      <c r="E1529" s="3">
        <v>1</v>
      </c>
      <c r="F1529" s="3" t="s">
        <v>1907</v>
      </c>
      <c r="G1529" s="9">
        <v>4575.0506519999999</v>
      </c>
      <c r="H1529" s="66">
        <v>134963.99423399998</v>
      </c>
      <c r="I1529" s="9">
        <v>5522.4558849873802</v>
      </c>
      <c r="J1529" s="10">
        <v>1.2070808183453048</v>
      </c>
      <c r="K1529" s="66">
        <v>50037.481111235895</v>
      </c>
      <c r="L1529" s="69">
        <v>185001.47534523587</v>
      </c>
      <c r="M1529" s="64">
        <v>2912252.4515076294</v>
      </c>
      <c r="N1529" s="67">
        <v>58374.066711853964</v>
      </c>
      <c r="O1529" s="64">
        <f t="shared" si="46"/>
        <v>243375.54205708983</v>
      </c>
      <c r="P1529" s="64">
        <f t="shared" si="47"/>
        <v>53.196250832916427</v>
      </c>
    </row>
    <row r="1530" spans="1:16" ht="15">
      <c r="A1530" s="3" t="str">
        <f>"070979"</f>
        <v>070979</v>
      </c>
      <c r="B1530" s="3" t="s">
        <v>2578</v>
      </c>
      <c r="C1530" s="61" t="s">
        <v>3278</v>
      </c>
      <c r="D1530" s="3" t="s">
        <v>3249</v>
      </c>
      <c r="E1530" s="3">
        <v>1</v>
      </c>
      <c r="F1530" s="3" t="s">
        <v>3220</v>
      </c>
      <c r="G1530" s="9">
        <v>130</v>
      </c>
      <c r="H1530" s="66">
        <v>3835</v>
      </c>
      <c r="I1530" s="9">
        <v>130</v>
      </c>
      <c r="J1530" s="10">
        <v>1</v>
      </c>
      <c r="K1530" s="66">
        <v>0</v>
      </c>
      <c r="L1530" s="69">
        <v>3835</v>
      </c>
      <c r="M1530" s="64">
        <v>0</v>
      </c>
      <c r="N1530" s="67">
        <v>0</v>
      </c>
      <c r="O1530" s="64">
        <f t="shared" si="46"/>
        <v>3835</v>
      </c>
      <c r="P1530" s="64">
        <f t="shared" si="47"/>
        <v>29.5</v>
      </c>
    </row>
    <row r="1531" spans="1:16" ht="15">
      <c r="A1531" s="3" t="s">
        <v>207</v>
      </c>
      <c r="B1531" s="3" t="s">
        <v>208</v>
      </c>
      <c r="C1531" s="61" t="s">
        <v>3278</v>
      </c>
      <c r="D1531" s="3" t="s">
        <v>1684</v>
      </c>
      <c r="E1531" s="3">
        <v>1</v>
      </c>
      <c r="F1531" s="3" t="s">
        <v>3266</v>
      </c>
      <c r="G1531" s="9">
        <v>49.644972000000003</v>
      </c>
      <c r="H1531" s="66">
        <v>1464.5266740000002</v>
      </c>
      <c r="I1531" s="9">
        <v>62.5370209845792</v>
      </c>
      <c r="J1531" s="10">
        <v>1.2596848878186335</v>
      </c>
      <c r="K1531" s="66">
        <v>680.89729198234465</v>
      </c>
      <c r="L1531" s="69">
        <v>2145.4239659823447</v>
      </c>
      <c r="M1531" s="64">
        <v>0</v>
      </c>
      <c r="N1531" s="67">
        <v>0</v>
      </c>
      <c r="O1531" s="64">
        <f t="shared" si="46"/>
        <v>2145.4239659823447</v>
      </c>
      <c r="P1531" s="64">
        <f t="shared" si="47"/>
        <v>43.215332380131962</v>
      </c>
    </row>
    <row r="1532" spans="1:16" ht="15">
      <c r="A1532" s="3" t="s">
        <v>303</v>
      </c>
      <c r="B1532" s="3" t="s">
        <v>304</v>
      </c>
      <c r="C1532" s="61" t="s">
        <v>3278</v>
      </c>
      <c r="D1532" s="3" t="s">
        <v>1684</v>
      </c>
      <c r="E1532" s="3">
        <v>1</v>
      </c>
      <c r="F1532" s="3" t="s">
        <v>3266</v>
      </c>
      <c r="G1532" s="9">
        <v>168.95321200000001</v>
      </c>
      <c r="H1532" s="66">
        <v>4984.1197540000003</v>
      </c>
      <c r="I1532" s="9">
        <v>223.85111384056401</v>
      </c>
      <c r="J1532" s="10">
        <v>1.324929613297698</v>
      </c>
      <c r="K1532" s="66">
        <v>2899.4485471986982</v>
      </c>
      <c r="L1532" s="69">
        <v>7883.5683011986985</v>
      </c>
      <c r="M1532" s="64">
        <v>0</v>
      </c>
      <c r="N1532" s="67">
        <v>0</v>
      </c>
      <c r="O1532" s="64">
        <f t="shared" si="46"/>
        <v>7883.5683011986985</v>
      </c>
      <c r="P1532" s="64">
        <f t="shared" si="47"/>
        <v>46.661251407275394</v>
      </c>
    </row>
    <row r="1533" spans="1:16" ht="15">
      <c r="A1533" s="3" t="str">
        <f>"057232"</f>
        <v>057232</v>
      </c>
      <c r="B1533" s="3" t="s">
        <v>2841</v>
      </c>
      <c r="C1533" s="61" t="s">
        <v>3278</v>
      </c>
      <c r="D1533" s="3" t="s">
        <v>3249</v>
      </c>
      <c r="E1533" s="3">
        <v>1</v>
      </c>
      <c r="F1533" s="3" t="s">
        <v>3220</v>
      </c>
      <c r="G1533" s="9">
        <v>265</v>
      </c>
      <c r="H1533" s="66">
        <v>7817.5</v>
      </c>
      <c r="I1533" s="9">
        <v>279.01060000000001</v>
      </c>
      <c r="J1533" s="10">
        <v>1.0528701886792453</v>
      </c>
      <c r="K1533" s="66">
        <v>739.97388704144987</v>
      </c>
      <c r="L1533" s="69">
        <v>8557.4738870414494</v>
      </c>
      <c r="M1533" s="64">
        <v>0</v>
      </c>
      <c r="N1533" s="67">
        <v>0</v>
      </c>
      <c r="O1533" s="64">
        <f t="shared" si="46"/>
        <v>8557.4738870414494</v>
      </c>
      <c r="P1533" s="64">
        <f t="shared" si="47"/>
        <v>32.29235429072245</v>
      </c>
    </row>
    <row r="1534" spans="1:16" ht="15">
      <c r="A1534" s="3" t="str">
        <f>"016974"</f>
        <v>016974</v>
      </c>
      <c r="B1534" s="3" t="s">
        <v>2938</v>
      </c>
      <c r="C1534" s="61" t="s">
        <v>3278</v>
      </c>
      <c r="D1534" s="3" t="s">
        <v>3249</v>
      </c>
      <c r="E1534" s="3">
        <v>1</v>
      </c>
      <c r="F1534" s="3" t="s">
        <v>3220</v>
      </c>
      <c r="G1534" s="9">
        <v>83</v>
      </c>
      <c r="H1534" s="66">
        <v>2448.5</v>
      </c>
      <c r="I1534" s="9">
        <v>141.25460000000001</v>
      </c>
      <c r="J1534" s="10">
        <v>1.7018626506024097</v>
      </c>
      <c r="K1534" s="66">
        <v>3076.733530330237</v>
      </c>
      <c r="L1534" s="69">
        <v>5525.233530330237</v>
      </c>
      <c r="M1534" s="64">
        <v>0</v>
      </c>
      <c r="N1534" s="67">
        <v>0</v>
      </c>
      <c r="O1534" s="64">
        <f t="shared" si="46"/>
        <v>5525.233530330237</v>
      </c>
      <c r="P1534" s="64">
        <f t="shared" si="47"/>
        <v>66.569078678677556</v>
      </c>
    </row>
    <row r="1535" spans="1:16" ht="15">
      <c r="A1535" s="3" t="str">
        <f>"119339"</f>
        <v>119339</v>
      </c>
      <c r="B1535" s="3" t="s">
        <v>3070</v>
      </c>
      <c r="C1535" s="61" t="s">
        <v>3278</v>
      </c>
      <c r="D1535" s="3" t="s">
        <v>3249</v>
      </c>
      <c r="E1535" s="3">
        <v>1</v>
      </c>
      <c r="F1535" s="3" t="s">
        <v>3220</v>
      </c>
      <c r="G1535" s="9">
        <v>12</v>
      </c>
      <c r="H1535" s="66">
        <v>354</v>
      </c>
      <c r="I1535" s="9">
        <v>12</v>
      </c>
      <c r="J1535" s="10">
        <v>1</v>
      </c>
      <c r="K1535" s="66">
        <v>0</v>
      </c>
      <c r="L1535" s="69">
        <v>354</v>
      </c>
      <c r="M1535" s="64">
        <v>0</v>
      </c>
      <c r="N1535" s="67">
        <v>0</v>
      </c>
      <c r="O1535" s="64">
        <f t="shared" si="46"/>
        <v>354</v>
      </c>
      <c r="P1535" s="64">
        <f t="shared" si="47"/>
        <v>29.5</v>
      </c>
    </row>
    <row r="1536" spans="1:16" ht="15">
      <c r="A1536" s="3" t="str">
        <f>"132837"</f>
        <v>132837</v>
      </c>
      <c r="B1536" s="3" t="s">
        <v>3045</v>
      </c>
      <c r="C1536" s="61" t="s">
        <v>3278</v>
      </c>
      <c r="D1536" s="3" t="s">
        <v>3249</v>
      </c>
      <c r="E1536" s="3">
        <v>1</v>
      </c>
      <c r="F1536" s="3" t="s">
        <v>3220</v>
      </c>
      <c r="G1536" s="9">
        <v>12</v>
      </c>
      <c r="H1536" s="66">
        <v>354</v>
      </c>
      <c r="I1536" s="9">
        <v>12</v>
      </c>
      <c r="J1536" s="10">
        <v>1</v>
      </c>
      <c r="K1536" s="66">
        <v>0</v>
      </c>
      <c r="L1536" s="69">
        <v>354</v>
      </c>
      <c r="M1536" s="64">
        <v>0</v>
      </c>
      <c r="N1536" s="67">
        <v>0</v>
      </c>
      <c r="O1536" s="64">
        <f t="shared" si="46"/>
        <v>354</v>
      </c>
      <c r="P1536" s="64">
        <f t="shared" si="47"/>
        <v>29.5</v>
      </c>
    </row>
    <row r="1537" spans="1:16" ht="15">
      <c r="A1537" s="3" t="str">
        <f>"009270"</f>
        <v>009270</v>
      </c>
      <c r="B1537" s="3" t="s">
        <v>3203</v>
      </c>
      <c r="C1537" s="61" t="s">
        <v>3278</v>
      </c>
      <c r="D1537" s="3" t="s">
        <v>3249</v>
      </c>
      <c r="E1537" s="3">
        <v>1</v>
      </c>
      <c r="F1537" s="3" t="s">
        <v>3220</v>
      </c>
      <c r="G1537" s="9">
        <v>242</v>
      </c>
      <c r="H1537" s="66">
        <v>7139</v>
      </c>
      <c r="I1537" s="9">
        <v>242</v>
      </c>
      <c r="J1537" s="10">
        <v>1</v>
      </c>
      <c r="K1537" s="66">
        <v>0</v>
      </c>
      <c r="L1537" s="69">
        <v>7139</v>
      </c>
      <c r="M1537" s="64">
        <v>0</v>
      </c>
      <c r="N1537" s="67">
        <v>0</v>
      </c>
      <c r="O1537" s="64">
        <f t="shared" si="46"/>
        <v>7139</v>
      </c>
      <c r="P1537" s="64">
        <f t="shared" si="47"/>
        <v>29.5</v>
      </c>
    </row>
    <row r="1538" spans="1:16" ht="15">
      <c r="A1538" s="3" t="s">
        <v>140</v>
      </c>
      <c r="B1538" s="3" t="s">
        <v>1785</v>
      </c>
      <c r="C1538" s="61" t="s">
        <v>3278</v>
      </c>
      <c r="D1538" s="3" t="s">
        <v>1684</v>
      </c>
      <c r="E1538" s="3">
        <v>1</v>
      </c>
      <c r="F1538" s="3" t="s">
        <v>3266</v>
      </c>
      <c r="G1538" s="9">
        <v>91.788037000000003</v>
      </c>
      <c r="H1538" s="66">
        <v>2707.7470914999999</v>
      </c>
      <c r="I1538" s="9">
        <v>136.77636308807101</v>
      </c>
      <c r="J1538" s="10">
        <v>1.4901327837316207</v>
      </c>
      <c r="K1538" s="66">
        <v>2376.0714406862048</v>
      </c>
      <c r="L1538" s="69">
        <v>5083.8185321862047</v>
      </c>
      <c r="M1538" s="64">
        <v>0</v>
      </c>
      <c r="N1538" s="67">
        <v>0</v>
      </c>
      <c r="O1538" s="64">
        <f t="shared" si="46"/>
        <v>5083.8185321862047</v>
      </c>
      <c r="P1538" s="64">
        <f t="shared" si="47"/>
        <v>55.386504585409149</v>
      </c>
    </row>
    <row r="1539" spans="1:16" ht="15">
      <c r="A1539" s="3" t="s">
        <v>298</v>
      </c>
      <c r="B1539" s="3" t="s">
        <v>1707</v>
      </c>
      <c r="C1539" s="61" t="s">
        <v>3278</v>
      </c>
      <c r="D1539" s="3" t="s">
        <v>1684</v>
      </c>
      <c r="E1539" s="3">
        <v>1</v>
      </c>
      <c r="F1539" s="3" t="s">
        <v>3266</v>
      </c>
      <c r="G1539" s="9">
        <v>151.83431899999999</v>
      </c>
      <c r="H1539" s="66">
        <v>4479.1124104999999</v>
      </c>
      <c r="I1539" s="9">
        <v>194.99600837522399</v>
      </c>
      <c r="J1539" s="10">
        <v>1.2842683370893506</v>
      </c>
      <c r="K1539" s="66">
        <v>2279.5970949324173</v>
      </c>
      <c r="L1539" s="69">
        <v>6758.7095054324172</v>
      </c>
      <c r="M1539" s="64">
        <v>0</v>
      </c>
      <c r="N1539" s="67">
        <v>0</v>
      </c>
      <c r="O1539" s="64">
        <f t="shared" ref="O1539:O1602" si="48">(N1539+L1539)</f>
        <v>6758.7095054324172</v>
      </c>
      <c r="P1539" s="64">
        <f t="shared" ref="P1539:P1602" si="49">O1539/G1539</f>
        <v>44.513714356188586</v>
      </c>
    </row>
    <row r="1540" spans="1:16" ht="15">
      <c r="A1540" s="3" t="s">
        <v>1557</v>
      </c>
      <c r="B1540" s="3" t="s">
        <v>544</v>
      </c>
      <c r="C1540" s="61" t="s">
        <v>3278</v>
      </c>
      <c r="D1540" s="3" t="s">
        <v>3248</v>
      </c>
      <c r="E1540" s="3">
        <v>1</v>
      </c>
      <c r="F1540" s="3" t="s">
        <v>1904</v>
      </c>
      <c r="G1540" s="9">
        <v>1288.417312</v>
      </c>
      <c r="H1540" s="66">
        <v>38008.310704000003</v>
      </c>
      <c r="I1540" s="9">
        <v>1540.2324265346999</v>
      </c>
      <c r="J1540" s="10">
        <v>1.1954453050183014</v>
      </c>
      <c r="K1540" s="66">
        <v>13299.688030350566</v>
      </c>
      <c r="L1540" s="69">
        <v>51307.998734350571</v>
      </c>
      <c r="M1540" s="64">
        <v>748990.80769353814</v>
      </c>
      <c r="N1540" s="67">
        <v>15012.997706374646</v>
      </c>
      <c r="O1540" s="64">
        <f t="shared" si="48"/>
        <v>66320.996440725212</v>
      </c>
      <c r="P1540" s="64">
        <f t="shared" si="49"/>
        <v>51.474779035509584</v>
      </c>
    </row>
    <row r="1541" spans="1:16" ht="15">
      <c r="A1541" s="3" t="str">
        <f>"054171"</f>
        <v>054171</v>
      </c>
      <c r="B1541" s="3" t="s">
        <v>3025</v>
      </c>
      <c r="C1541" s="61" t="s">
        <v>3278</v>
      </c>
      <c r="D1541" s="3" t="s">
        <v>3249</v>
      </c>
      <c r="E1541" s="3">
        <v>1</v>
      </c>
      <c r="F1541" s="3" t="s">
        <v>3220</v>
      </c>
      <c r="G1541" s="9">
        <v>83</v>
      </c>
      <c r="H1541" s="66">
        <v>2448.5</v>
      </c>
      <c r="I1541" s="9">
        <v>111.13239999999999</v>
      </c>
      <c r="J1541" s="10">
        <v>1.338944578313253</v>
      </c>
      <c r="K1541" s="66">
        <v>1485.820834211587</v>
      </c>
      <c r="L1541" s="69">
        <v>3934.3208342115868</v>
      </c>
      <c r="M1541" s="64">
        <v>0</v>
      </c>
      <c r="N1541" s="67">
        <v>0</v>
      </c>
      <c r="O1541" s="64">
        <f t="shared" si="48"/>
        <v>3934.3208342115868</v>
      </c>
      <c r="P1541" s="64">
        <f t="shared" si="49"/>
        <v>47.401455833874536</v>
      </c>
    </row>
    <row r="1542" spans="1:16" ht="15">
      <c r="A1542" s="3" t="s">
        <v>401</v>
      </c>
      <c r="B1542" s="3" t="s">
        <v>402</v>
      </c>
      <c r="C1542" s="61" t="s">
        <v>3278</v>
      </c>
      <c r="D1542" s="3" t="s">
        <v>1684</v>
      </c>
      <c r="E1542" s="3">
        <v>1</v>
      </c>
      <c r="F1542" s="3" t="s">
        <v>3266</v>
      </c>
      <c r="G1542" s="9">
        <v>256.09090600000002</v>
      </c>
      <c r="H1542" s="66">
        <v>7554.6817270000001</v>
      </c>
      <c r="I1542" s="9">
        <v>350.75944881018302</v>
      </c>
      <c r="J1542" s="10">
        <v>1.3696677257652523</v>
      </c>
      <c r="K1542" s="66">
        <v>4999.9464408234453</v>
      </c>
      <c r="L1542" s="69">
        <v>12554.628167823445</v>
      </c>
      <c r="M1542" s="64">
        <v>0</v>
      </c>
      <c r="N1542" s="67">
        <v>0</v>
      </c>
      <c r="O1542" s="64">
        <f t="shared" si="48"/>
        <v>12554.628167823445</v>
      </c>
      <c r="P1542" s="64">
        <f t="shared" si="49"/>
        <v>49.024107743300512</v>
      </c>
    </row>
    <row r="1543" spans="1:16" ht="15">
      <c r="A1543" s="3" t="s">
        <v>1561</v>
      </c>
      <c r="B1543" s="3" t="s">
        <v>1562</v>
      </c>
      <c r="C1543" s="61" t="s">
        <v>3278</v>
      </c>
      <c r="D1543" s="3" t="s">
        <v>3248</v>
      </c>
      <c r="E1543" s="3">
        <v>1</v>
      </c>
      <c r="F1543" s="3" t="s">
        <v>1904</v>
      </c>
      <c r="G1543" s="9">
        <v>857.37231399999996</v>
      </c>
      <c r="H1543" s="66">
        <v>25292.483262999998</v>
      </c>
      <c r="I1543" s="9">
        <v>995.38043539123498</v>
      </c>
      <c r="J1543" s="10">
        <v>1.1609663843090168</v>
      </c>
      <c r="K1543" s="66">
        <v>7288.9388055586751</v>
      </c>
      <c r="L1543" s="69">
        <v>32581.422068558673</v>
      </c>
      <c r="M1543" s="64">
        <v>159075.32907303481</v>
      </c>
      <c r="N1543" s="67">
        <v>3188.5538860864553</v>
      </c>
      <c r="O1543" s="64">
        <f t="shared" si="48"/>
        <v>35769.975954645131</v>
      </c>
      <c r="P1543" s="64">
        <f t="shared" si="49"/>
        <v>41.720470057824997</v>
      </c>
    </row>
    <row r="1544" spans="1:16" ht="15">
      <c r="A1544" s="3" t="s">
        <v>1563</v>
      </c>
      <c r="B1544" s="3" t="s">
        <v>1564</v>
      </c>
      <c r="C1544" s="61" t="s">
        <v>3278</v>
      </c>
      <c r="D1544" s="3" t="s">
        <v>3248</v>
      </c>
      <c r="E1544" s="3">
        <v>1</v>
      </c>
      <c r="F1544" s="3" t="s">
        <v>1906</v>
      </c>
      <c r="G1544" s="9">
        <v>3523.4779990000002</v>
      </c>
      <c r="H1544" s="66">
        <v>103942.6009705</v>
      </c>
      <c r="I1544" s="9">
        <v>4072.4196166311799</v>
      </c>
      <c r="J1544" s="10">
        <v>1.1557953867703943</v>
      </c>
      <c r="K1544" s="66">
        <v>28992.510139277761</v>
      </c>
      <c r="L1544" s="69">
        <v>132935.11110977776</v>
      </c>
      <c r="M1544" s="64">
        <v>2421002.6500946246</v>
      </c>
      <c r="N1544" s="67">
        <v>48527.307491161235</v>
      </c>
      <c r="O1544" s="64">
        <f t="shared" si="48"/>
        <v>181462.41860093898</v>
      </c>
      <c r="P1544" s="64">
        <f t="shared" si="49"/>
        <v>51.500937043580208</v>
      </c>
    </row>
    <row r="1545" spans="1:16" ht="15">
      <c r="A1545" s="3" t="s">
        <v>739</v>
      </c>
      <c r="B1545" s="3" t="s">
        <v>740</v>
      </c>
      <c r="C1545" s="61" t="s">
        <v>3278</v>
      </c>
      <c r="D1545" s="3" t="s">
        <v>3248</v>
      </c>
      <c r="E1545" s="3">
        <v>1</v>
      </c>
      <c r="F1545" s="3" t="s">
        <v>1904</v>
      </c>
      <c r="G1545" s="9">
        <v>2472.4489610000001</v>
      </c>
      <c r="H1545" s="66">
        <v>72937.244349500004</v>
      </c>
      <c r="I1545" s="9">
        <v>3075.39369110911</v>
      </c>
      <c r="J1545" s="10">
        <v>1.2438653899918097</v>
      </c>
      <c r="K1545" s="66">
        <v>31844.700127760101</v>
      </c>
      <c r="L1545" s="69">
        <v>104781.94447726011</v>
      </c>
      <c r="M1545" s="64">
        <v>1022152.1480374717</v>
      </c>
      <c r="N1545" s="67">
        <v>20488.326020058943</v>
      </c>
      <c r="O1545" s="64">
        <f t="shared" si="48"/>
        <v>125270.27049731906</v>
      </c>
      <c r="P1545" s="64">
        <f t="shared" si="49"/>
        <v>50.666473797158822</v>
      </c>
    </row>
    <row r="1546" spans="1:16" ht="15">
      <c r="A1546" s="3" t="str">
        <f>"060848"</f>
        <v>060848</v>
      </c>
      <c r="B1546" s="3" t="s">
        <v>3130</v>
      </c>
      <c r="C1546" s="61" t="s">
        <v>3278</v>
      </c>
      <c r="D1546" s="3" t="s">
        <v>3249</v>
      </c>
      <c r="E1546" s="3">
        <v>1</v>
      </c>
      <c r="F1546" s="3" t="s">
        <v>3220</v>
      </c>
      <c r="G1546" s="9">
        <v>345</v>
      </c>
      <c r="H1546" s="66">
        <v>10177.5</v>
      </c>
      <c r="I1546" s="9">
        <v>345</v>
      </c>
      <c r="J1546" s="10">
        <v>1</v>
      </c>
      <c r="K1546" s="66">
        <v>0</v>
      </c>
      <c r="L1546" s="69">
        <v>10177.5</v>
      </c>
      <c r="M1546" s="64">
        <v>0</v>
      </c>
      <c r="N1546" s="67">
        <v>0</v>
      </c>
      <c r="O1546" s="64">
        <f t="shared" si="48"/>
        <v>10177.5</v>
      </c>
      <c r="P1546" s="64">
        <f t="shared" si="49"/>
        <v>29.5</v>
      </c>
    </row>
    <row r="1547" spans="1:16" ht="15">
      <c r="A1547" s="3" t="str">
        <f>"056937"</f>
        <v>056937</v>
      </c>
      <c r="B1547" s="3" t="s">
        <v>2629</v>
      </c>
      <c r="C1547" s="61" t="s">
        <v>3278</v>
      </c>
      <c r="D1547" s="3" t="s">
        <v>3249</v>
      </c>
      <c r="E1547" s="3">
        <v>1</v>
      </c>
      <c r="F1547" s="3" t="s">
        <v>3220</v>
      </c>
      <c r="G1547" s="9">
        <v>214</v>
      </c>
      <c r="H1547" s="66">
        <v>6313</v>
      </c>
      <c r="I1547" s="9">
        <v>217.6</v>
      </c>
      <c r="J1547" s="10">
        <v>1.016822429906542</v>
      </c>
      <c r="K1547" s="66">
        <v>190.13504013741118</v>
      </c>
      <c r="L1547" s="69">
        <v>6503.1350401374111</v>
      </c>
      <c r="M1547" s="64">
        <v>0</v>
      </c>
      <c r="N1547" s="67">
        <v>0</v>
      </c>
      <c r="O1547" s="64">
        <f t="shared" si="48"/>
        <v>6503.1350401374111</v>
      </c>
      <c r="P1547" s="64">
        <f t="shared" si="49"/>
        <v>30.388481495969209</v>
      </c>
    </row>
    <row r="1548" spans="1:16" ht="15">
      <c r="A1548" s="3" t="s">
        <v>536</v>
      </c>
      <c r="B1548" s="3" t="s">
        <v>1851</v>
      </c>
      <c r="C1548" s="61" t="s">
        <v>3278</v>
      </c>
      <c r="D1548" s="3" t="s">
        <v>456</v>
      </c>
      <c r="E1548" s="3">
        <v>1</v>
      </c>
      <c r="F1548" s="3" t="s">
        <v>1897</v>
      </c>
      <c r="G1548" s="9">
        <v>339.02249499999999</v>
      </c>
      <c r="H1548" s="66">
        <v>10001.163602499999</v>
      </c>
      <c r="I1548" s="9">
        <v>408.570237212488</v>
      </c>
      <c r="J1548" s="10">
        <v>1.2051419691560232</v>
      </c>
      <c r="K1548" s="66">
        <v>3673.1840991771542</v>
      </c>
      <c r="L1548" s="69">
        <v>13674.347701677154</v>
      </c>
      <c r="M1548" s="64">
        <v>0</v>
      </c>
      <c r="N1548" s="67">
        <v>0</v>
      </c>
      <c r="O1548" s="64">
        <f t="shared" si="48"/>
        <v>13674.347701677154</v>
      </c>
      <c r="P1548" s="64">
        <f t="shared" si="49"/>
        <v>40.334632372041135</v>
      </c>
    </row>
    <row r="1549" spans="1:16" ht="15">
      <c r="A1549" s="3" t="str">
        <f>"060368"</f>
        <v>060368</v>
      </c>
      <c r="B1549" s="3" t="s">
        <v>2688</v>
      </c>
      <c r="C1549" s="61" t="s">
        <v>3278</v>
      </c>
      <c r="D1549" s="3" t="s">
        <v>3249</v>
      </c>
      <c r="E1549" s="3">
        <v>1</v>
      </c>
      <c r="F1549" s="3" t="s">
        <v>3220</v>
      </c>
      <c r="G1549" s="9">
        <v>130</v>
      </c>
      <c r="H1549" s="66">
        <v>3835</v>
      </c>
      <c r="I1549" s="9">
        <v>138.48700000000002</v>
      </c>
      <c r="J1549" s="10">
        <v>1.0652846153846156</v>
      </c>
      <c r="K1549" s="66">
        <v>448.24335712394884</v>
      </c>
      <c r="L1549" s="69">
        <v>4283.243357123949</v>
      </c>
      <c r="M1549" s="64">
        <v>0</v>
      </c>
      <c r="N1549" s="67">
        <v>0</v>
      </c>
      <c r="O1549" s="64">
        <f t="shared" si="48"/>
        <v>4283.243357123949</v>
      </c>
      <c r="P1549" s="64">
        <f t="shared" si="49"/>
        <v>32.948025824030374</v>
      </c>
    </row>
    <row r="1550" spans="1:16" ht="15">
      <c r="A1550" s="3" t="s">
        <v>1565</v>
      </c>
      <c r="B1550" s="3" t="s">
        <v>1566</v>
      </c>
      <c r="C1550" s="61" t="s">
        <v>3278</v>
      </c>
      <c r="D1550" s="3" t="s">
        <v>3248</v>
      </c>
      <c r="E1550" s="3">
        <v>1</v>
      </c>
      <c r="F1550" s="3" t="s">
        <v>1907</v>
      </c>
      <c r="G1550" s="9">
        <v>2661.425303</v>
      </c>
      <c r="H1550" s="66">
        <v>78512.046438499994</v>
      </c>
      <c r="I1550" s="9">
        <v>3049.9164419429999</v>
      </c>
      <c r="J1550" s="10">
        <v>1.1459710849314788</v>
      </c>
      <c r="K1550" s="66">
        <v>20518.271748876665</v>
      </c>
      <c r="L1550" s="69">
        <v>99030.318187376659</v>
      </c>
      <c r="M1550" s="64">
        <v>1862563.934685631</v>
      </c>
      <c r="N1550" s="67">
        <v>37333.793408654084</v>
      </c>
      <c r="O1550" s="64">
        <f t="shared" si="48"/>
        <v>136364.11159603074</v>
      </c>
      <c r="P1550" s="64">
        <f t="shared" si="49"/>
        <v>51.237249244725746</v>
      </c>
    </row>
    <row r="1551" spans="1:16" ht="15">
      <c r="A1551" s="3" t="str">
        <f>"010582"</f>
        <v>010582</v>
      </c>
      <c r="B1551" s="3" t="s">
        <v>2945</v>
      </c>
      <c r="C1551" s="61" t="s">
        <v>3278</v>
      </c>
      <c r="D1551" s="3" t="s">
        <v>3249</v>
      </c>
      <c r="E1551" s="3">
        <v>1</v>
      </c>
      <c r="F1551" s="3" t="s">
        <v>3220</v>
      </c>
      <c r="G1551" s="9">
        <v>132</v>
      </c>
      <c r="H1551" s="66">
        <v>3894</v>
      </c>
      <c r="I1551" s="9">
        <v>222.7002</v>
      </c>
      <c r="J1551" s="10">
        <v>1.6871227272727272</v>
      </c>
      <c r="K1551" s="66">
        <v>4790.3572687420137</v>
      </c>
      <c r="L1551" s="69">
        <v>8684.3572687420128</v>
      </c>
      <c r="M1551" s="64">
        <v>0</v>
      </c>
      <c r="N1551" s="67">
        <v>0</v>
      </c>
      <c r="O1551" s="64">
        <f t="shared" si="48"/>
        <v>8684.3572687420128</v>
      </c>
      <c r="P1551" s="64">
        <f t="shared" si="49"/>
        <v>65.79058536925767</v>
      </c>
    </row>
    <row r="1552" spans="1:16" ht="15">
      <c r="A1552" s="3" t="s">
        <v>437</v>
      </c>
      <c r="B1552" s="3" t="s">
        <v>438</v>
      </c>
      <c r="C1552" s="61" t="s">
        <v>3278</v>
      </c>
      <c r="D1552" s="3" t="s">
        <v>1684</v>
      </c>
      <c r="E1552" s="3">
        <v>1</v>
      </c>
      <c r="F1552" s="3" t="s">
        <v>3266</v>
      </c>
      <c r="G1552" s="9">
        <v>85.076924000000005</v>
      </c>
      <c r="H1552" s="66">
        <v>2509.7692580000003</v>
      </c>
      <c r="I1552" s="9">
        <v>117.470174593797</v>
      </c>
      <c r="J1552" s="10">
        <v>1.3807524892860135</v>
      </c>
      <c r="K1552" s="66">
        <v>1710.8588893980057</v>
      </c>
      <c r="L1552" s="69">
        <v>4220.6281473980061</v>
      </c>
      <c r="M1552" s="64">
        <v>0</v>
      </c>
      <c r="N1552" s="67">
        <v>0</v>
      </c>
      <c r="O1552" s="64">
        <f t="shared" si="48"/>
        <v>4220.6281473980061</v>
      </c>
      <c r="P1552" s="64">
        <f t="shared" si="49"/>
        <v>49.609552731337651</v>
      </c>
    </row>
    <row r="1553" spans="1:16" ht="15">
      <c r="A1553" s="3" t="str">
        <f>"126599"</f>
        <v>126599</v>
      </c>
      <c r="B1553" s="3" t="s">
        <v>2748</v>
      </c>
      <c r="C1553" s="61" t="s">
        <v>3278</v>
      </c>
      <c r="D1553" s="3" t="s">
        <v>3249</v>
      </c>
      <c r="E1553" s="3">
        <v>1</v>
      </c>
      <c r="F1553" s="3" t="s">
        <v>3220</v>
      </c>
      <c r="G1553" s="9">
        <v>423</v>
      </c>
      <c r="H1553" s="66">
        <v>12478.5</v>
      </c>
      <c r="I1553" s="9">
        <v>430.97400000000005</v>
      </c>
      <c r="J1553" s="10">
        <v>1.0188510638297874</v>
      </c>
      <c r="K1553" s="66">
        <v>421.14911390436896</v>
      </c>
      <c r="L1553" s="69">
        <v>12899.649113904368</v>
      </c>
      <c r="M1553" s="64">
        <v>0</v>
      </c>
      <c r="N1553" s="67">
        <v>0</v>
      </c>
      <c r="O1553" s="64">
        <f t="shared" si="48"/>
        <v>12899.649113904368</v>
      </c>
      <c r="P1553" s="64">
        <f t="shared" si="49"/>
        <v>30.495624382752645</v>
      </c>
    </row>
    <row r="1554" spans="1:16" ht="15">
      <c r="A1554" s="3" t="str">
        <f>"096693"</f>
        <v>096693</v>
      </c>
      <c r="B1554" s="3" t="s">
        <v>3092</v>
      </c>
      <c r="C1554" s="61" t="s">
        <v>3278</v>
      </c>
      <c r="D1554" s="3" t="s">
        <v>3249</v>
      </c>
      <c r="E1554" s="3">
        <v>1</v>
      </c>
      <c r="F1554" s="3" t="s">
        <v>3220</v>
      </c>
      <c r="G1554" s="9">
        <v>149</v>
      </c>
      <c r="H1554" s="66">
        <v>4395.5</v>
      </c>
      <c r="I1554" s="9">
        <v>149</v>
      </c>
      <c r="J1554" s="10">
        <v>1</v>
      </c>
      <c r="K1554" s="66">
        <v>0</v>
      </c>
      <c r="L1554" s="69">
        <v>4395.5</v>
      </c>
      <c r="M1554" s="64">
        <v>0</v>
      </c>
      <c r="N1554" s="67">
        <v>0</v>
      </c>
      <c r="O1554" s="64">
        <f t="shared" si="48"/>
        <v>4395.5</v>
      </c>
      <c r="P1554" s="64">
        <f t="shared" si="49"/>
        <v>29.5</v>
      </c>
    </row>
    <row r="1555" spans="1:16" ht="15">
      <c r="A1555" s="3" t="s">
        <v>1567</v>
      </c>
      <c r="B1555" s="3" t="s">
        <v>1303</v>
      </c>
      <c r="C1555" s="61" t="s">
        <v>3278</v>
      </c>
      <c r="D1555" s="3" t="s">
        <v>3248</v>
      </c>
      <c r="E1555" s="3">
        <v>1</v>
      </c>
      <c r="F1555" s="3" t="s">
        <v>1905</v>
      </c>
      <c r="G1555" s="9">
        <v>2153.6983599999999</v>
      </c>
      <c r="H1555" s="66">
        <v>63534.101619999994</v>
      </c>
      <c r="I1555" s="9">
        <v>2750.78996756378</v>
      </c>
      <c r="J1555" s="10">
        <v>1.2772401273332354</v>
      </c>
      <c r="K1555" s="66">
        <v>31535.565769403027</v>
      </c>
      <c r="L1555" s="69">
        <v>95069.667389403025</v>
      </c>
      <c r="M1555" s="64">
        <v>1203892.5912150238</v>
      </c>
      <c r="N1555" s="67">
        <v>24131.18629091089</v>
      </c>
      <c r="O1555" s="64">
        <f t="shared" si="48"/>
        <v>119200.85368031391</v>
      </c>
      <c r="P1555" s="64">
        <f t="shared" si="49"/>
        <v>55.347051330026517</v>
      </c>
    </row>
    <row r="1556" spans="1:16" ht="15">
      <c r="A1556" s="3" t="str">
        <f>"056994"</f>
        <v>056994</v>
      </c>
      <c r="B1556" s="3" t="s">
        <v>2757</v>
      </c>
      <c r="C1556" s="61" t="s">
        <v>3278</v>
      </c>
      <c r="D1556" s="3" t="s">
        <v>3249</v>
      </c>
      <c r="E1556" s="3">
        <v>1</v>
      </c>
      <c r="F1556" s="3" t="s">
        <v>3220</v>
      </c>
      <c r="G1556" s="9">
        <v>168</v>
      </c>
      <c r="H1556" s="66">
        <v>4956</v>
      </c>
      <c r="I1556" s="9">
        <v>199.75739999999999</v>
      </c>
      <c r="J1556" s="10">
        <v>1.1890321428571429</v>
      </c>
      <c r="K1556" s="66">
        <v>1677.276256572175</v>
      </c>
      <c r="L1556" s="69">
        <v>6633.276256572175</v>
      </c>
      <c r="M1556" s="64">
        <v>0</v>
      </c>
      <c r="N1556" s="67">
        <v>0</v>
      </c>
      <c r="O1556" s="64">
        <f t="shared" si="48"/>
        <v>6633.276256572175</v>
      </c>
      <c r="P1556" s="64">
        <f t="shared" si="49"/>
        <v>39.483787241501041</v>
      </c>
    </row>
    <row r="1557" spans="1:16" ht="15">
      <c r="A1557" s="3" t="str">
        <f>"057182"</f>
        <v>057182</v>
      </c>
      <c r="B1557" s="3" t="s">
        <v>2681</v>
      </c>
      <c r="C1557" s="61" t="s">
        <v>3278</v>
      </c>
      <c r="D1557" s="3" t="s">
        <v>3249</v>
      </c>
      <c r="E1557" s="3">
        <v>1</v>
      </c>
      <c r="F1557" s="3" t="s">
        <v>3220</v>
      </c>
      <c r="G1557" s="9">
        <v>233</v>
      </c>
      <c r="H1557" s="66">
        <v>6873.5</v>
      </c>
      <c r="I1557" s="9">
        <v>258.59840000000003</v>
      </c>
      <c r="J1557" s="10">
        <v>1.1098643776824035</v>
      </c>
      <c r="K1557" s="66">
        <v>1351.9868920704221</v>
      </c>
      <c r="L1557" s="69">
        <v>8225.4868920704212</v>
      </c>
      <c r="M1557" s="64">
        <v>0</v>
      </c>
      <c r="N1557" s="67">
        <v>0</v>
      </c>
      <c r="O1557" s="64">
        <f t="shared" si="48"/>
        <v>8225.4868920704212</v>
      </c>
      <c r="P1557" s="64">
        <f t="shared" si="49"/>
        <v>35.302518850087644</v>
      </c>
    </row>
    <row r="1558" spans="1:16" ht="15">
      <c r="A1558" s="3" t="str">
        <f>"057455"</f>
        <v>057455</v>
      </c>
      <c r="B1558" s="3" t="s">
        <v>2815</v>
      </c>
      <c r="C1558" s="61" t="s">
        <v>3278</v>
      </c>
      <c r="D1558" s="3" t="s">
        <v>3249</v>
      </c>
      <c r="E1558" s="3">
        <v>1</v>
      </c>
      <c r="F1558" s="3" t="s">
        <v>3220</v>
      </c>
      <c r="G1558" s="9">
        <v>368</v>
      </c>
      <c r="H1558" s="66">
        <v>10856</v>
      </c>
      <c r="I1558" s="9">
        <v>379.96099999999996</v>
      </c>
      <c r="J1558" s="10">
        <v>1.0325027173913042</v>
      </c>
      <c r="K1558" s="66">
        <v>631.7236708565473</v>
      </c>
      <c r="L1558" s="69">
        <v>11487.723670856547</v>
      </c>
      <c r="M1558" s="64">
        <v>0</v>
      </c>
      <c r="N1558" s="67">
        <v>0</v>
      </c>
      <c r="O1558" s="64">
        <f t="shared" si="48"/>
        <v>11487.723670856547</v>
      </c>
      <c r="P1558" s="64">
        <f t="shared" si="49"/>
        <v>31.216640409936268</v>
      </c>
    </row>
    <row r="1559" spans="1:16" ht="15">
      <c r="A1559" s="3" t="str">
        <f>"057018"</f>
        <v>057018</v>
      </c>
      <c r="B1559" s="3" t="s">
        <v>2812</v>
      </c>
      <c r="C1559" s="61" t="s">
        <v>3278</v>
      </c>
      <c r="D1559" s="3" t="s">
        <v>3249</v>
      </c>
      <c r="E1559" s="3">
        <v>1</v>
      </c>
      <c r="F1559" s="3" t="s">
        <v>3220</v>
      </c>
      <c r="G1559" s="9">
        <v>296</v>
      </c>
      <c r="H1559" s="66">
        <v>8732</v>
      </c>
      <c r="I1559" s="9">
        <v>317.57239999999996</v>
      </c>
      <c r="J1559" s="10">
        <v>1.0728797297297297</v>
      </c>
      <c r="K1559" s="66">
        <v>1139.35253885008</v>
      </c>
      <c r="L1559" s="69">
        <v>9871.3525388500802</v>
      </c>
      <c r="M1559" s="64">
        <v>0</v>
      </c>
      <c r="N1559" s="67">
        <v>0</v>
      </c>
      <c r="O1559" s="64">
        <f t="shared" si="48"/>
        <v>9871.3525388500802</v>
      </c>
      <c r="P1559" s="64">
        <f t="shared" si="49"/>
        <v>33.349163982601624</v>
      </c>
    </row>
    <row r="1560" spans="1:16" ht="15">
      <c r="A1560" s="3" t="str">
        <f>"057034"</f>
        <v>057034</v>
      </c>
      <c r="B1560" s="3" t="s">
        <v>2874</v>
      </c>
      <c r="C1560" s="61" t="s">
        <v>3278</v>
      </c>
      <c r="D1560" s="3" t="s">
        <v>3249</v>
      </c>
      <c r="E1560" s="3">
        <v>1</v>
      </c>
      <c r="F1560" s="3" t="s">
        <v>3220</v>
      </c>
      <c r="G1560" s="9">
        <v>539</v>
      </c>
      <c r="H1560" s="66">
        <v>15900.5</v>
      </c>
      <c r="I1560" s="9">
        <v>557.83500000000004</v>
      </c>
      <c r="J1560" s="10">
        <v>1.0349443413729129</v>
      </c>
      <c r="K1560" s="66">
        <v>994.77596694115346</v>
      </c>
      <c r="L1560" s="69">
        <v>16895.275966941153</v>
      </c>
      <c r="M1560" s="64">
        <v>0</v>
      </c>
      <c r="N1560" s="67">
        <v>0</v>
      </c>
      <c r="O1560" s="64">
        <f t="shared" si="48"/>
        <v>16895.275966941153</v>
      </c>
      <c r="P1560" s="64">
        <f t="shared" si="49"/>
        <v>31.345595485976165</v>
      </c>
    </row>
    <row r="1561" spans="1:16" ht="15">
      <c r="A1561" s="3" t="str">
        <f>"057240"</f>
        <v>057240</v>
      </c>
      <c r="B1561" s="3" t="s">
        <v>2625</v>
      </c>
      <c r="C1561" s="61" t="s">
        <v>3278</v>
      </c>
      <c r="D1561" s="3" t="s">
        <v>3249</v>
      </c>
      <c r="E1561" s="3">
        <v>1</v>
      </c>
      <c r="F1561" s="3" t="s">
        <v>3220</v>
      </c>
      <c r="G1561" s="9">
        <v>161</v>
      </c>
      <c r="H1561" s="66">
        <v>4749.5</v>
      </c>
      <c r="I1561" s="9">
        <v>169.53360000000001</v>
      </c>
      <c r="J1561" s="10">
        <v>1.0530037267080745</v>
      </c>
      <c r="K1561" s="66">
        <v>450.70454958794886</v>
      </c>
      <c r="L1561" s="69">
        <v>5200.2045495879493</v>
      </c>
      <c r="M1561" s="64">
        <v>0</v>
      </c>
      <c r="N1561" s="67">
        <v>0</v>
      </c>
      <c r="O1561" s="64">
        <f t="shared" si="48"/>
        <v>5200.2045495879493</v>
      </c>
      <c r="P1561" s="64">
        <f t="shared" si="49"/>
        <v>32.299407140297824</v>
      </c>
    </row>
    <row r="1562" spans="1:16" ht="15">
      <c r="A1562" s="3" t="str">
        <f>"057067"</f>
        <v>057067</v>
      </c>
      <c r="B1562" s="3" t="s">
        <v>2767</v>
      </c>
      <c r="C1562" s="61" t="s">
        <v>3278</v>
      </c>
      <c r="D1562" s="3" t="s">
        <v>3249</v>
      </c>
      <c r="E1562" s="3">
        <v>1</v>
      </c>
      <c r="F1562" s="3" t="s">
        <v>3220</v>
      </c>
      <c r="G1562" s="9">
        <v>204</v>
      </c>
      <c r="H1562" s="66">
        <v>6018</v>
      </c>
      <c r="I1562" s="9">
        <v>228.14880000000002</v>
      </c>
      <c r="J1562" s="10">
        <v>1.1183764705882353</v>
      </c>
      <c r="K1562" s="66">
        <v>1275.4258492417575</v>
      </c>
      <c r="L1562" s="69">
        <v>7293.4258492417575</v>
      </c>
      <c r="M1562" s="64">
        <v>0</v>
      </c>
      <c r="N1562" s="67">
        <v>0</v>
      </c>
      <c r="O1562" s="64">
        <f t="shared" si="48"/>
        <v>7293.4258492417575</v>
      </c>
      <c r="P1562" s="64">
        <f t="shared" si="49"/>
        <v>35.752087496283124</v>
      </c>
    </row>
    <row r="1563" spans="1:16" ht="15">
      <c r="A1563" s="3" t="str">
        <f>"057075"</f>
        <v>057075</v>
      </c>
      <c r="B1563" s="3" t="s">
        <v>3135</v>
      </c>
      <c r="C1563" s="61" t="s">
        <v>3278</v>
      </c>
      <c r="D1563" s="3" t="s">
        <v>3249</v>
      </c>
      <c r="E1563" s="3">
        <v>1</v>
      </c>
      <c r="F1563" s="3" t="s">
        <v>3220</v>
      </c>
      <c r="G1563" s="9">
        <v>130</v>
      </c>
      <c r="H1563" s="66">
        <v>3835</v>
      </c>
      <c r="I1563" s="9">
        <v>130</v>
      </c>
      <c r="J1563" s="10">
        <v>1</v>
      </c>
      <c r="K1563" s="66">
        <v>0</v>
      </c>
      <c r="L1563" s="69">
        <v>3835</v>
      </c>
      <c r="M1563" s="64">
        <v>0</v>
      </c>
      <c r="N1563" s="67">
        <v>0</v>
      </c>
      <c r="O1563" s="64">
        <f t="shared" si="48"/>
        <v>3835</v>
      </c>
      <c r="P1563" s="64">
        <f t="shared" si="49"/>
        <v>29.5</v>
      </c>
    </row>
    <row r="1564" spans="1:16" ht="15">
      <c r="A1564" s="3" t="str">
        <f>"060962"</f>
        <v>060962</v>
      </c>
      <c r="B1564" s="3" t="s">
        <v>2679</v>
      </c>
      <c r="C1564" s="61" t="s">
        <v>3278</v>
      </c>
      <c r="D1564" s="3" t="s">
        <v>3249</v>
      </c>
      <c r="E1564" s="3">
        <v>1</v>
      </c>
      <c r="F1564" s="3" t="s">
        <v>3220</v>
      </c>
      <c r="G1564" s="9">
        <v>325</v>
      </c>
      <c r="H1564" s="66">
        <v>9587.5</v>
      </c>
      <c r="I1564" s="9">
        <v>329.94959999999998</v>
      </c>
      <c r="J1564" s="10">
        <v>1.0152295384615384</v>
      </c>
      <c r="K1564" s="66">
        <v>261.41455407336866</v>
      </c>
      <c r="L1564" s="69">
        <v>9848.914554073368</v>
      </c>
      <c r="M1564" s="64">
        <v>0</v>
      </c>
      <c r="N1564" s="67">
        <v>0</v>
      </c>
      <c r="O1564" s="64">
        <f t="shared" si="48"/>
        <v>9848.914554073368</v>
      </c>
      <c r="P1564" s="64">
        <f t="shared" si="49"/>
        <v>30.304352474071901</v>
      </c>
    </row>
    <row r="1565" spans="1:16" ht="15">
      <c r="A1565" s="3" t="str">
        <f>"057109"</f>
        <v>057109</v>
      </c>
      <c r="B1565" s="3" t="s">
        <v>2799</v>
      </c>
      <c r="C1565" s="61" t="s">
        <v>3278</v>
      </c>
      <c r="D1565" s="3" t="s">
        <v>3249</v>
      </c>
      <c r="E1565" s="3">
        <v>1</v>
      </c>
      <c r="F1565" s="3" t="s">
        <v>3220</v>
      </c>
      <c r="G1565" s="9">
        <v>178</v>
      </c>
      <c r="H1565" s="66">
        <v>5251</v>
      </c>
      <c r="I1565" s="9">
        <v>191.3236</v>
      </c>
      <c r="J1565" s="10">
        <v>1.0748516853932584</v>
      </c>
      <c r="K1565" s="66">
        <v>703.68978354855983</v>
      </c>
      <c r="L1565" s="69">
        <v>5954.6897835485597</v>
      </c>
      <c r="M1565" s="64">
        <v>0</v>
      </c>
      <c r="N1565" s="67">
        <v>0</v>
      </c>
      <c r="O1565" s="64">
        <f t="shared" si="48"/>
        <v>5954.6897835485597</v>
      </c>
      <c r="P1565" s="64">
        <f t="shared" si="49"/>
        <v>33.453313390722244</v>
      </c>
    </row>
    <row r="1566" spans="1:16" ht="15">
      <c r="A1566" s="3" t="str">
        <f>"053850"</f>
        <v>053850</v>
      </c>
      <c r="B1566" s="3" t="s">
        <v>2936</v>
      </c>
      <c r="C1566" s="61" t="s">
        <v>3278</v>
      </c>
      <c r="D1566" s="3" t="s">
        <v>3249</v>
      </c>
      <c r="E1566" s="3">
        <v>1</v>
      </c>
      <c r="F1566" s="3" t="s">
        <v>3220</v>
      </c>
      <c r="G1566" s="9">
        <v>592</v>
      </c>
      <c r="H1566" s="66">
        <v>17464</v>
      </c>
      <c r="I1566" s="9">
        <v>656.97980000000007</v>
      </c>
      <c r="J1566" s="10">
        <v>1.1097631756756758</v>
      </c>
      <c r="K1566" s="66">
        <v>3431.9269114224958</v>
      </c>
      <c r="L1566" s="69">
        <v>20895.926911422495</v>
      </c>
      <c r="M1566" s="64">
        <v>0</v>
      </c>
      <c r="N1566" s="67">
        <v>0</v>
      </c>
      <c r="O1566" s="64">
        <f t="shared" si="48"/>
        <v>20895.926911422495</v>
      </c>
      <c r="P1566" s="64">
        <f t="shared" si="49"/>
        <v>35.297173836862321</v>
      </c>
    </row>
    <row r="1567" spans="1:16" ht="15">
      <c r="A1567" s="3" t="s">
        <v>257</v>
      </c>
      <c r="B1567" s="3" t="s">
        <v>1801</v>
      </c>
      <c r="C1567" s="61" t="s">
        <v>3278</v>
      </c>
      <c r="D1567" s="3" t="s">
        <v>1684</v>
      </c>
      <c r="E1567" s="3">
        <v>1</v>
      </c>
      <c r="F1567" s="3" t="s">
        <v>3266</v>
      </c>
      <c r="G1567" s="9">
        <v>158.09697499999999</v>
      </c>
      <c r="H1567" s="66">
        <v>4663.8607624999995</v>
      </c>
      <c r="I1567" s="9">
        <v>214.84169059477699</v>
      </c>
      <c r="J1567" s="10">
        <v>1.3589234746254759</v>
      </c>
      <c r="K1567" s="66">
        <v>2996.9885492219237</v>
      </c>
      <c r="L1567" s="69">
        <v>7660.8493117219232</v>
      </c>
      <c r="M1567" s="64">
        <v>0</v>
      </c>
      <c r="N1567" s="67">
        <v>0</v>
      </c>
      <c r="O1567" s="64">
        <f t="shared" si="48"/>
        <v>7660.8493117219232</v>
      </c>
      <c r="P1567" s="64">
        <f t="shared" si="49"/>
        <v>48.456647015048354</v>
      </c>
    </row>
    <row r="1568" spans="1:16" ht="15">
      <c r="A1568" s="3" t="s">
        <v>322</v>
      </c>
      <c r="B1568" s="3" t="s">
        <v>323</v>
      </c>
      <c r="C1568" s="61" t="s">
        <v>3278</v>
      </c>
      <c r="D1568" s="3" t="s">
        <v>1684</v>
      </c>
      <c r="E1568" s="3">
        <v>1</v>
      </c>
      <c r="F1568" s="3" t="s">
        <v>3266</v>
      </c>
      <c r="G1568" s="9">
        <v>96.276472999999996</v>
      </c>
      <c r="H1568" s="66">
        <v>2840.1559534999997</v>
      </c>
      <c r="I1568" s="9">
        <v>205.559998046365</v>
      </c>
      <c r="J1568" s="10">
        <v>2.1351010443264267</v>
      </c>
      <c r="K1568" s="66">
        <v>5771.8409502912291</v>
      </c>
      <c r="L1568" s="69">
        <v>8611.9969037912288</v>
      </c>
      <c r="M1568" s="64">
        <v>0</v>
      </c>
      <c r="N1568" s="67">
        <v>0</v>
      </c>
      <c r="O1568" s="64">
        <f t="shared" si="48"/>
        <v>8611.9969037912288</v>
      </c>
      <c r="P1568" s="64">
        <f t="shared" si="49"/>
        <v>89.450689617506342</v>
      </c>
    </row>
    <row r="1569" spans="1:16" ht="15">
      <c r="A1569" s="3" t="s">
        <v>792</v>
      </c>
      <c r="B1569" s="3" t="s">
        <v>1738</v>
      </c>
      <c r="C1569" s="61" t="s">
        <v>3278</v>
      </c>
      <c r="D1569" s="3" t="s">
        <v>3248</v>
      </c>
      <c r="E1569" s="3">
        <v>1</v>
      </c>
      <c r="F1569" s="3" t="s">
        <v>1906</v>
      </c>
      <c r="G1569" s="9">
        <v>5181.4710770000002</v>
      </c>
      <c r="H1569" s="66">
        <v>152853.3967715</v>
      </c>
      <c r="I1569" s="9">
        <v>6203.02529608434</v>
      </c>
      <c r="J1569" s="10">
        <v>1.1971552487514425</v>
      </c>
      <c r="K1569" s="66">
        <v>53953.681235595286</v>
      </c>
      <c r="L1569" s="69">
        <v>206807.07800709529</v>
      </c>
      <c r="M1569" s="64">
        <v>2778976.1666439697</v>
      </c>
      <c r="N1569" s="67">
        <v>55702.636651004745</v>
      </c>
      <c r="O1569" s="64">
        <f t="shared" si="48"/>
        <v>262509.71465810004</v>
      </c>
      <c r="P1569" s="64">
        <f t="shared" si="49"/>
        <v>50.663163174518679</v>
      </c>
    </row>
    <row r="1570" spans="1:16" ht="15">
      <c r="A1570" s="3" t="s">
        <v>375</v>
      </c>
      <c r="B1570" s="3" t="s">
        <v>376</v>
      </c>
      <c r="C1570" s="61" t="s">
        <v>3278</v>
      </c>
      <c r="D1570" s="3" t="s">
        <v>1684</v>
      </c>
      <c r="E1570" s="3">
        <v>1</v>
      </c>
      <c r="F1570" s="3" t="s">
        <v>3266</v>
      </c>
      <c r="G1570" s="9">
        <v>122.287575</v>
      </c>
      <c r="H1570" s="66">
        <v>3607.4834625000003</v>
      </c>
      <c r="I1570" s="9">
        <v>304.03138130523899</v>
      </c>
      <c r="J1570" s="10">
        <v>2.4862001009116339</v>
      </c>
      <c r="K1570" s="66">
        <v>9598.8516407145999</v>
      </c>
      <c r="L1570" s="69">
        <v>13206.3351032146</v>
      </c>
      <c r="M1570" s="64">
        <v>0</v>
      </c>
      <c r="N1570" s="67">
        <v>0</v>
      </c>
      <c r="O1570" s="64">
        <f t="shared" si="48"/>
        <v>13206.3351032146</v>
      </c>
      <c r="P1570" s="64">
        <f t="shared" si="49"/>
        <v>107.99408773307182</v>
      </c>
    </row>
    <row r="1571" spans="1:16" ht="15">
      <c r="A1571" s="3" t="s">
        <v>327</v>
      </c>
      <c r="B1571" s="3" t="s">
        <v>328</v>
      </c>
      <c r="C1571" s="61" t="s">
        <v>3278</v>
      </c>
      <c r="D1571" s="3" t="s">
        <v>1684</v>
      </c>
      <c r="E1571" s="3">
        <v>1</v>
      </c>
      <c r="F1571" s="3" t="s">
        <v>3266</v>
      </c>
      <c r="G1571" s="9">
        <v>76.113094000000004</v>
      </c>
      <c r="H1571" s="66">
        <v>2245.3362729999999</v>
      </c>
      <c r="I1571" s="9">
        <v>222.15133236693001</v>
      </c>
      <c r="J1571" s="10">
        <v>2.9187005900315914</v>
      </c>
      <c r="K1571" s="66">
        <v>7713.0517537480846</v>
      </c>
      <c r="L1571" s="69">
        <v>9958.3880267480854</v>
      </c>
      <c r="M1571" s="64">
        <v>0</v>
      </c>
      <c r="N1571" s="67">
        <v>0</v>
      </c>
      <c r="O1571" s="64">
        <f t="shared" si="48"/>
        <v>9958.3880267480854</v>
      </c>
      <c r="P1571" s="64">
        <f t="shared" si="49"/>
        <v>130.83672602703663</v>
      </c>
    </row>
    <row r="1572" spans="1:16" ht="15">
      <c r="A1572" s="3" t="s">
        <v>20</v>
      </c>
      <c r="B1572" s="3" t="s">
        <v>21</v>
      </c>
      <c r="C1572" s="61" t="s">
        <v>3278</v>
      </c>
      <c r="D1572" s="3" t="s">
        <v>1684</v>
      </c>
      <c r="E1572" s="3">
        <v>1</v>
      </c>
      <c r="F1572" s="3" t="s">
        <v>3266</v>
      </c>
      <c r="G1572" s="9">
        <v>67.285803999999999</v>
      </c>
      <c r="H1572" s="66">
        <v>1984.9312179999999</v>
      </c>
      <c r="I1572" s="9">
        <v>215.88923079798801</v>
      </c>
      <c r="J1572" s="10">
        <v>3.2085405533385321</v>
      </c>
      <c r="K1572" s="66">
        <v>7848.532921886761</v>
      </c>
      <c r="L1572" s="69">
        <v>9833.4641398867607</v>
      </c>
      <c r="M1572" s="64">
        <v>0</v>
      </c>
      <c r="N1572" s="67">
        <v>0</v>
      </c>
      <c r="O1572" s="64">
        <f t="shared" si="48"/>
        <v>9833.4641398867607</v>
      </c>
      <c r="P1572" s="64">
        <f t="shared" si="49"/>
        <v>146.14470743170077</v>
      </c>
    </row>
    <row r="1573" spans="1:16" ht="15">
      <c r="A1573" s="3" t="str">
        <f>"096966"</f>
        <v>096966</v>
      </c>
      <c r="B1573" s="3" t="s">
        <v>2617</v>
      </c>
      <c r="C1573" s="61" t="s">
        <v>3278</v>
      </c>
      <c r="D1573" s="3" t="s">
        <v>3249</v>
      </c>
      <c r="E1573" s="3">
        <v>1</v>
      </c>
      <c r="F1573" s="3" t="s">
        <v>3220</v>
      </c>
      <c r="G1573" s="9">
        <v>193</v>
      </c>
      <c r="H1573" s="66">
        <v>5693.5</v>
      </c>
      <c r="I1573" s="9">
        <v>206.4</v>
      </c>
      <c r="J1573" s="10">
        <v>1.0694300518134716</v>
      </c>
      <c r="K1573" s="66">
        <v>707.72487162258756</v>
      </c>
      <c r="L1573" s="69">
        <v>6401.2248716225877</v>
      </c>
      <c r="M1573" s="64">
        <v>0</v>
      </c>
      <c r="N1573" s="67">
        <v>0</v>
      </c>
      <c r="O1573" s="64">
        <f t="shared" si="48"/>
        <v>6401.2248716225877</v>
      </c>
      <c r="P1573" s="64">
        <f t="shared" si="49"/>
        <v>33.166968246749157</v>
      </c>
    </row>
    <row r="1574" spans="1:16" ht="15">
      <c r="A1574" s="3" t="s">
        <v>800</v>
      </c>
      <c r="B1574" s="3" t="s">
        <v>801</v>
      </c>
      <c r="C1574" s="61" t="s">
        <v>3278</v>
      </c>
      <c r="D1574" s="3" t="s">
        <v>3248</v>
      </c>
      <c r="E1574" s="3">
        <v>1</v>
      </c>
      <c r="F1574" s="3" t="s">
        <v>1906</v>
      </c>
      <c r="G1574" s="9">
        <v>2357.8399690000001</v>
      </c>
      <c r="H1574" s="66">
        <v>69556.279085500006</v>
      </c>
      <c r="I1574" s="9">
        <v>2812.65968724301</v>
      </c>
      <c r="J1574" s="10">
        <v>1.1928967717159815</v>
      </c>
      <c r="K1574" s="66">
        <v>24021.434828728019</v>
      </c>
      <c r="L1574" s="69">
        <v>93577.713914228021</v>
      </c>
      <c r="M1574" s="64">
        <v>1370212.5847862635</v>
      </c>
      <c r="N1574" s="67">
        <v>27464.954417783469</v>
      </c>
      <c r="O1574" s="64">
        <f t="shared" si="48"/>
        <v>121042.6683320115</v>
      </c>
      <c r="P1574" s="64">
        <f t="shared" si="49"/>
        <v>51.336252639464647</v>
      </c>
    </row>
    <row r="1575" spans="1:16" ht="15">
      <c r="A1575" s="3" t="str">
        <f>"017448"</f>
        <v>017448</v>
      </c>
      <c r="B1575" s="3" t="s">
        <v>3165</v>
      </c>
      <c r="C1575" s="61" t="s">
        <v>3278</v>
      </c>
      <c r="D1575" s="3" t="s">
        <v>3249</v>
      </c>
      <c r="E1575" s="3">
        <v>1</v>
      </c>
      <c r="F1575" s="3" t="s">
        <v>3220</v>
      </c>
      <c r="G1575" s="9">
        <v>47</v>
      </c>
      <c r="H1575" s="66">
        <v>1386.5</v>
      </c>
      <c r="I1575" s="9">
        <v>47</v>
      </c>
      <c r="J1575" s="10">
        <v>1</v>
      </c>
      <c r="K1575" s="66">
        <v>0</v>
      </c>
      <c r="L1575" s="69">
        <v>1386.5</v>
      </c>
      <c r="M1575" s="64">
        <v>0</v>
      </c>
      <c r="N1575" s="67">
        <v>0</v>
      </c>
      <c r="O1575" s="64">
        <f t="shared" si="48"/>
        <v>1386.5</v>
      </c>
      <c r="P1575" s="64">
        <f t="shared" si="49"/>
        <v>29.5</v>
      </c>
    </row>
    <row r="1576" spans="1:16" ht="15">
      <c r="A1576" s="3" t="str">
        <f>"065722"</f>
        <v>065722</v>
      </c>
      <c r="B1576" s="3" t="s">
        <v>3124</v>
      </c>
      <c r="C1576" s="61" t="s">
        <v>3278</v>
      </c>
      <c r="D1576" s="3" t="s">
        <v>3249</v>
      </c>
      <c r="E1576" s="3">
        <v>1</v>
      </c>
      <c r="F1576" s="3" t="s">
        <v>3220</v>
      </c>
      <c r="G1576" s="9">
        <v>113</v>
      </c>
      <c r="H1576" s="66">
        <v>3333.5</v>
      </c>
      <c r="I1576" s="9">
        <v>113</v>
      </c>
      <c r="J1576" s="10">
        <v>1</v>
      </c>
      <c r="K1576" s="66">
        <v>0</v>
      </c>
      <c r="L1576" s="69">
        <v>3333.5</v>
      </c>
      <c r="M1576" s="64">
        <v>0</v>
      </c>
      <c r="N1576" s="67">
        <v>0</v>
      </c>
      <c r="O1576" s="64">
        <f t="shared" si="48"/>
        <v>3333.5</v>
      </c>
      <c r="P1576" s="64">
        <f t="shared" si="49"/>
        <v>29.5</v>
      </c>
    </row>
    <row r="1577" spans="1:16" ht="15">
      <c r="A1577" s="3" t="s">
        <v>389</v>
      </c>
      <c r="B1577" s="3" t="s">
        <v>390</v>
      </c>
      <c r="C1577" s="61" t="s">
        <v>3278</v>
      </c>
      <c r="D1577" s="3" t="s">
        <v>1684</v>
      </c>
      <c r="E1577" s="3">
        <v>1</v>
      </c>
      <c r="F1577" s="3" t="s">
        <v>3266</v>
      </c>
      <c r="G1577" s="9">
        <v>442.57560699999999</v>
      </c>
      <c r="H1577" s="66">
        <v>13055.980406499999</v>
      </c>
      <c r="I1577" s="9">
        <v>644.11594138683301</v>
      </c>
      <c r="J1577" s="10">
        <v>1.4553805749778546</v>
      </c>
      <c r="K1577" s="66">
        <v>10644.41099109662</v>
      </c>
      <c r="L1577" s="69">
        <v>23700.391397596621</v>
      </c>
      <c r="M1577" s="64">
        <v>0</v>
      </c>
      <c r="N1577" s="67">
        <v>0</v>
      </c>
      <c r="O1577" s="64">
        <f t="shared" si="48"/>
        <v>23700.391397596621</v>
      </c>
      <c r="P1577" s="64">
        <f t="shared" si="49"/>
        <v>53.551056639225536</v>
      </c>
    </row>
    <row r="1578" spans="1:16" ht="15">
      <c r="A1578" s="3" t="s">
        <v>1568</v>
      </c>
      <c r="B1578" s="3" t="s">
        <v>1569</v>
      </c>
      <c r="C1578" s="61" t="s">
        <v>3278</v>
      </c>
      <c r="D1578" s="3" t="s">
        <v>3248</v>
      </c>
      <c r="E1578" s="3">
        <v>1</v>
      </c>
      <c r="F1578" s="3" t="s">
        <v>1906</v>
      </c>
      <c r="G1578" s="9">
        <v>4185.3924370000004</v>
      </c>
      <c r="H1578" s="66">
        <v>123469.07689150001</v>
      </c>
      <c r="I1578" s="9">
        <v>4824.6116990259798</v>
      </c>
      <c r="J1578" s="10">
        <v>1.1527262429145493</v>
      </c>
      <c r="K1578" s="66">
        <v>33760.550011643369</v>
      </c>
      <c r="L1578" s="69">
        <v>157229.62690314336</v>
      </c>
      <c r="M1578" s="64">
        <v>3029006.9230340333</v>
      </c>
      <c r="N1578" s="67">
        <v>60714.328561839298</v>
      </c>
      <c r="O1578" s="64">
        <f t="shared" si="48"/>
        <v>217943.95546498266</v>
      </c>
      <c r="P1578" s="64">
        <f t="shared" si="49"/>
        <v>52.072525753690186</v>
      </c>
    </row>
    <row r="1579" spans="1:16" ht="15">
      <c r="A1579" s="3" t="str">
        <f>"062489"</f>
        <v>062489</v>
      </c>
      <c r="B1579" s="3" t="s">
        <v>2587</v>
      </c>
      <c r="C1579" s="61" t="s">
        <v>3278</v>
      </c>
      <c r="D1579" s="3" t="s">
        <v>3249</v>
      </c>
      <c r="E1579" s="3">
        <v>1</v>
      </c>
      <c r="F1579" s="3" t="s">
        <v>3220</v>
      </c>
      <c r="G1579" s="9">
        <v>1013</v>
      </c>
      <c r="H1579" s="66">
        <v>29883.5</v>
      </c>
      <c r="I1579" s="9">
        <v>1013</v>
      </c>
      <c r="J1579" s="10">
        <v>1</v>
      </c>
      <c r="K1579" s="66">
        <v>0</v>
      </c>
      <c r="L1579" s="69">
        <v>29883.5</v>
      </c>
      <c r="M1579" s="64">
        <v>0</v>
      </c>
      <c r="N1579" s="67">
        <v>0</v>
      </c>
      <c r="O1579" s="64">
        <f t="shared" si="48"/>
        <v>29883.5</v>
      </c>
      <c r="P1579" s="64">
        <f t="shared" si="49"/>
        <v>29.5</v>
      </c>
    </row>
    <row r="1580" spans="1:16" ht="15">
      <c r="A1580" s="3" t="str">
        <f>"053975"</f>
        <v>053975</v>
      </c>
      <c r="B1580" s="3" t="s">
        <v>3136</v>
      </c>
      <c r="C1580" s="61" t="s">
        <v>3278</v>
      </c>
      <c r="D1580" s="3" t="s">
        <v>3249</v>
      </c>
      <c r="E1580" s="3">
        <v>1</v>
      </c>
      <c r="F1580" s="3" t="s">
        <v>3220</v>
      </c>
      <c r="G1580" s="9">
        <v>214</v>
      </c>
      <c r="H1580" s="66">
        <v>6313</v>
      </c>
      <c r="I1580" s="9">
        <v>214</v>
      </c>
      <c r="J1580" s="10">
        <v>1</v>
      </c>
      <c r="K1580" s="66">
        <v>0</v>
      </c>
      <c r="L1580" s="69">
        <v>6313</v>
      </c>
      <c r="M1580" s="64">
        <v>0</v>
      </c>
      <c r="N1580" s="67">
        <v>0</v>
      </c>
      <c r="O1580" s="64">
        <f t="shared" si="48"/>
        <v>6313</v>
      </c>
      <c r="P1580" s="64">
        <f t="shared" si="49"/>
        <v>29.5</v>
      </c>
    </row>
    <row r="1581" spans="1:16" ht="15">
      <c r="A1581" s="3" t="s">
        <v>1551</v>
      </c>
      <c r="B1581" s="3" t="s">
        <v>1552</v>
      </c>
      <c r="C1581" s="61" t="s">
        <v>3278</v>
      </c>
      <c r="D1581" s="3" t="s">
        <v>3248</v>
      </c>
      <c r="E1581" s="3">
        <v>1</v>
      </c>
      <c r="F1581" s="3" t="s">
        <v>1906</v>
      </c>
      <c r="G1581" s="9">
        <v>1859.7347130000001</v>
      </c>
      <c r="H1581" s="66">
        <v>54862.174033499999</v>
      </c>
      <c r="I1581" s="9">
        <v>2302.2333571095501</v>
      </c>
      <c r="J1581" s="10">
        <v>1.2379364330925138</v>
      </c>
      <c r="K1581" s="66">
        <v>23370.693738477625</v>
      </c>
      <c r="L1581" s="69">
        <v>78232.867771977617</v>
      </c>
      <c r="M1581" s="64">
        <v>1369416.6989764816</v>
      </c>
      <c r="N1581" s="67">
        <v>27449.001442507863</v>
      </c>
      <c r="O1581" s="64">
        <f t="shared" si="48"/>
        <v>105681.86921448549</v>
      </c>
      <c r="P1581" s="64">
        <f t="shared" si="49"/>
        <v>56.826314245652028</v>
      </c>
    </row>
    <row r="1582" spans="1:16" ht="15">
      <c r="A1582" s="3" t="s">
        <v>1570</v>
      </c>
      <c r="B1582" s="3" t="s">
        <v>1571</v>
      </c>
      <c r="C1582" s="61" t="s">
        <v>3296</v>
      </c>
      <c r="D1582" s="3" t="s">
        <v>3248</v>
      </c>
      <c r="E1582" s="3">
        <v>1</v>
      </c>
      <c r="F1582" s="3" t="s">
        <v>3223</v>
      </c>
      <c r="G1582" s="9">
        <v>232.70954599999999</v>
      </c>
      <c r="H1582" s="66">
        <v>6864.9316069999995</v>
      </c>
      <c r="I1582" s="9">
        <v>281.81627837458302</v>
      </c>
      <c r="J1582" s="10">
        <v>1.2110215640856565</v>
      </c>
      <c r="K1582" s="66">
        <v>2593.5862586273529</v>
      </c>
      <c r="L1582" s="69">
        <v>9458.5178656273529</v>
      </c>
      <c r="M1582" s="64">
        <v>434390.50509558333</v>
      </c>
      <c r="N1582" s="67">
        <v>8707.0543318861346</v>
      </c>
      <c r="O1582" s="64">
        <f t="shared" si="48"/>
        <v>18165.572197513487</v>
      </c>
      <c r="P1582" s="64">
        <f t="shared" si="49"/>
        <v>78.061138916550888</v>
      </c>
    </row>
    <row r="1583" spans="1:16" ht="15">
      <c r="A1583" s="3" t="s">
        <v>1572</v>
      </c>
      <c r="B1583" s="3" t="s">
        <v>1573</v>
      </c>
      <c r="C1583" s="61" t="s">
        <v>3296</v>
      </c>
      <c r="D1583" s="3" t="s">
        <v>3248</v>
      </c>
      <c r="E1583" s="3">
        <v>1</v>
      </c>
      <c r="F1583" s="3" t="s">
        <v>3224</v>
      </c>
      <c r="G1583" s="9">
        <v>500.080107</v>
      </c>
      <c r="H1583" s="66">
        <v>14752.3631565</v>
      </c>
      <c r="I1583" s="9">
        <v>608.94625401697101</v>
      </c>
      <c r="J1583" s="10">
        <v>1.2176974158601575</v>
      </c>
      <c r="K1583" s="66">
        <v>5749.7970090769786</v>
      </c>
      <c r="L1583" s="69">
        <v>20502.160165576977</v>
      </c>
      <c r="M1583" s="64">
        <v>597978.87297164532</v>
      </c>
      <c r="N1583" s="67">
        <v>11986.068929242561</v>
      </c>
      <c r="O1583" s="64">
        <f t="shared" si="48"/>
        <v>32488.229094819537</v>
      </c>
      <c r="P1583" s="64">
        <f t="shared" si="49"/>
        <v>64.966049718949407</v>
      </c>
    </row>
    <row r="1584" spans="1:16" ht="15">
      <c r="A1584" s="3" t="s">
        <v>1574</v>
      </c>
      <c r="B1584" s="3" t="s">
        <v>1881</v>
      </c>
      <c r="C1584" s="61" t="s">
        <v>3296</v>
      </c>
      <c r="D1584" s="3" t="s">
        <v>3248</v>
      </c>
      <c r="E1584" s="3">
        <v>1</v>
      </c>
      <c r="F1584" s="3" t="s">
        <v>1905</v>
      </c>
      <c r="G1584" s="9">
        <v>979.56809999999996</v>
      </c>
      <c r="H1584" s="66">
        <v>28897.258949999999</v>
      </c>
      <c r="I1584" s="9">
        <v>1170.0338416644399</v>
      </c>
      <c r="J1584" s="10">
        <v>1.194438489436763</v>
      </c>
      <c r="K1584" s="66">
        <v>10059.503176713928</v>
      </c>
      <c r="L1584" s="69">
        <v>38956.762126713926</v>
      </c>
      <c r="M1584" s="64">
        <v>709272.87736779614</v>
      </c>
      <c r="N1584" s="67">
        <v>14216.879528745032</v>
      </c>
      <c r="O1584" s="64">
        <f t="shared" si="48"/>
        <v>53173.64165545896</v>
      </c>
      <c r="P1584" s="64">
        <f t="shared" si="49"/>
        <v>54.282741195286945</v>
      </c>
    </row>
    <row r="1585" spans="1:16" ht="15">
      <c r="A1585" s="3" t="s">
        <v>1575</v>
      </c>
      <c r="B1585" s="3" t="s">
        <v>1576</v>
      </c>
      <c r="C1585" s="61" t="s">
        <v>3296</v>
      </c>
      <c r="D1585" s="3" t="s">
        <v>3248</v>
      </c>
      <c r="E1585" s="3">
        <v>1</v>
      </c>
      <c r="F1585" s="3" t="s">
        <v>1904</v>
      </c>
      <c r="G1585" s="9">
        <v>1323.1999040000001</v>
      </c>
      <c r="H1585" s="66">
        <v>39034.397168000003</v>
      </c>
      <c r="I1585" s="9">
        <v>1534.7943069985599</v>
      </c>
      <c r="J1585" s="10">
        <v>1.1599111384144718</v>
      </c>
      <c r="K1585" s="66">
        <v>11175.419529717446</v>
      </c>
      <c r="L1585" s="69">
        <v>50209.816697717448</v>
      </c>
      <c r="M1585" s="64">
        <v>934035.57647825812</v>
      </c>
      <c r="N1585" s="67">
        <v>18722.090876551872</v>
      </c>
      <c r="O1585" s="64">
        <f t="shared" si="48"/>
        <v>68931.907574269324</v>
      </c>
      <c r="P1585" s="64">
        <f t="shared" si="49"/>
        <v>52.094855332055197</v>
      </c>
    </row>
    <row r="1586" spans="1:16" ht="15">
      <c r="A1586" s="3" t="s">
        <v>649</v>
      </c>
      <c r="B1586" s="3" t="s">
        <v>1731</v>
      </c>
      <c r="C1586" s="61" t="s">
        <v>3296</v>
      </c>
      <c r="D1586" s="3" t="s">
        <v>3248</v>
      </c>
      <c r="E1586" s="3">
        <v>1</v>
      </c>
      <c r="F1586" s="3" t="s">
        <v>1905</v>
      </c>
      <c r="G1586" s="9">
        <v>1688.7905330000001</v>
      </c>
      <c r="H1586" s="66">
        <v>49819.320723500001</v>
      </c>
      <c r="I1586" s="9">
        <v>2147.4068548821001</v>
      </c>
      <c r="J1586" s="10">
        <v>1.2715649530953996</v>
      </c>
      <c r="K1586" s="66">
        <v>24221.953546868092</v>
      </c>
      <c r="L1586" s="69">
        <v>74041.2742703681</v>
      </c>
      <c r="M1586" s="64">
        <v>1352616.676379482</v>
      </c>
      <c r="N1586" s="67">
        <v>27112.256721310969</v>
      </c>
      <c r="O1586" s="64">
        <f t="shared" si="48"/>
        <v>101153.53099167907</v>
      </c>
      <c r="P1586" s="64">
        <f t="shared" si="49"/>
        <v>59.897026312664124</v>
      </c>
    </row>
    <row r="1587" spans="1:16" ht="15">
      <c r="A1587" s="3" t="str">
        <f>"000204"</f>
        <v>000204</v>
      </c>
      <c r="B1587" s="3" t="s">
        <v>2613</v>
      </c>
      <c r="C1587" s="61" t="s">
        <v>3296</v>
      </c>
      <c r="D1587" s="3" t="s">
        <v>3249</v>
      </c>
      <c r="E1587" s="3">
        <v>1</v>
      </c>
      <c r="F1587" s="3" t="s">
        <v>3220</v>
      </c>
      <c r="G1587" s="9">
        <v>40</v>
      </c>
      <c r="H1587" s="66">
        <v>1180</v>
      </c>
      <c r="I1587" s="9">
        <v>40</v>
      </c>
      <c r="J1587" s="10">
        <v>1</v>
      </c>
      <c r="K1587" s="66">
        <v>0</v>
      </c>
      <c r="L1587" s="69">
        <v>1180</v>
      </c>
      <c r="M1587" s="64">
        <v>0</v>
      </c>
      <c r="N1587" s="67">
        <v>0</v>
      </c>
      <c r="O1587" s="64">
        <f t="shared" si="48"/>
        <v>1180</v>
      </c>
      <c r="P1587" s="64">
        <f t="shared" si="49"/>
        <v>29.5</v>
      </c>
    </row>
    <row r="1588" spans="1:16" ht="15">
      <c r="A1588" s="3" t="s">
        <v>275</v>
      </c>
      <c r="B1588" s="3" t="s">
        <v>1805</v>
      </c>
      <c r="C1588" s="61" t="s">
        <v>3296</v>
      </c>
      <c r="D1588" s="3" t="s">
        <v>1684</v>
      </c>
      <c r="E1588" s="3">
        <v>1</v>
      </c>
      <c r="F1588" s="3" t="s">
        <v>3266</v>
      </c>
      <c r="G1588" s="9">
        <v>48.228912999999999</v>
      </c>
      <c r="H1588" s="66">
        <v>1422.7529334999999</v>
      </c>
      <c r="I1588" s="9">
        <v>138.96074916175999</v>
      </c>
      <c r="J1588" s="10">
        <v>2.8812747482357728</v>
      </c>
      <c r="K1588" s="66">
        <v>4792.0281417659107</v>
      </c>
      <c r="L1588" s="69">
        <v>6214.7810752659107</v>
      </c>
      <c r="M1588" s="64">
        <v>40112.639999999999</v>
      </c>
      <c r="N1588" s="67">
        <v>804.02985741720386</v>
      </c>
      <c r="O1588" s="64">
        <f t="shared" si="48"/>
        <v>7018.8109326831145</v>
      </c>
      <c r="P1588" s="64">
        <f t="shared" si="49"/>
        <v>145.53118650389476</v>
      </c>
    </row>
    <row r="1589" spans="1:16" ht="15">
      <c r="A1589" s="3" t="s">
        <v>1579</v>
      </c>
      <c r="B1589" s="3" t="s">
        <v>1580</v>
      </c>
      <c r="C1589" s="61" t="s">
        <v>3296</v>
      </c>
      <c r="D1589" s="3" t="s">
        <v>3248</v>
      </c>
      <c r="E1589" s="3">
        <v>1</v>
      </c>
      <c r="F1589" s="3" t="s">
        <v>1906</v>
      </c>
      <c r="G1589" s="9">
        <v>2540.8820430000001</v>
      </c>
      <c r="H1589" s="66">
        <v>74956.020268499997</v>
      </c>
      <c r="I1589" s="9">
        <v>3032.2306471505099</v>
      </c>
      <c r="J1589" s="10">
        <v>1.1933771799852535</v>
      </c>
      <c r="K1589" s="66">
        <v>25950.71849211619</v>
      </c>
      <c r="L1589" s="69">
        <v>100906.73876061619</v>
      </c>
      <c r="M1589" s="64">
        <v>1540938.4407134755</v>
      </c>
      <c r="N1589" s="67">
        <v>30887.034978888056</v>
      </c>
      <c r="O1589" s="64">
        <f t="shared" si="48"/>
        <v>131793.77373950425</v>
      </c>
      <c r="P1589" s="64">
        <f t="shared" si="49"/>
        <v>51.869300309547761</v>
      </c>
    </row>
    <row r="1590" spans="1:16" ht="15">
      <c r="A1590" s="3" t="s">
        <v>904</v>
      </c>
      <c r="B1590" s="3" t="s">
        <v>905</v>
      </c>
      <c r="C1590" s="61" t="s">
        <v>3296</v>
      </c>
      <c r="D1590" s="3" t="s">
        <v>3248</v>
      </c>
      <c r="E1590" s="3">
        <v>1</v>
      </c>
      <c r="F1590" s="3" t="s">
        <v>1905</v>
      </c>
      <c r="G1590" s="9">
        <v>1900.1051010000001</v>
      </c>
      <c r="H1590" s="66">
        <v>56053.100479500004</v>
      </c>
      <c r="I1590" s="9">
        <v>2182.5322971589799</v>
      </c>
      <c r="J1590" s="10">
        <v>1.1486376706269259</v>
      </c>
      <c r="K1590" s="66">
        <v>14916.473965995614</v>
      </c>
      <c r="L1590" s="69">
        <v>70969.574445495615</v>
      </c>
      <c r="M1590" s="64">
        <v>1130094.9472528098</v>
      </c>
      <c r="N1590" s="67">
        <v>22651.964051919276</v>
      </c>
      <c r="O1590" s="64">
        <f t="shared" si="48"/>
        <v>93621.538497414891</v>
      </c>
      <c r="P1590" s="64">
        <f t="shared" si="49"/>
        <v>49.271768413306781</v>
      </c>
    </row>
    <row r="1591" spans="1:16" ht="15">
      <c r="A1591" s="3" t="str">
        <f>"053124"</f>
        <v>053124</v>
      </c>
      <c r="B1591" s="3" t="s">
        <v>2731</v>
      </c>
      <c r="C1591" s="61" t="s">
        <v>3296</v>
      </c>
      <c r="D1591" s="3" t="s">
        <v>3249</v>
      </c>
      <c r="E1591" s="3">
        <v>1</v>
      </c>
      <c r="F1591" s="3" t="s">
        <v>3220</v>
      </c>
      <c r="G1591" s="9">
        <v>316</v>
      </c>
      <c r="H1591" s="66">
        <v>9322</v>
      </c>
      <c r="I1591" s="9">
        <v>332.4366</v>
      </c>
      <c r="J1591" s="10">
        <v>1.0520145569620254</v>
      </c>
      <c r="K1591" s="66">
        <v>868.10377797849378</v>
      </c>
      <c r="L1591" s="69">
        <v>10190.103777978493</v>
      </c>
      <c r="M1591" s="64">
        <v>0</v>
      </c>
      <c r="N1591" s="67">
        <v>0</v>
      </c>
      <c r="O1591" s="64">
        <f t="shared" si="48"/>
        <v>10190.103777978493</v>
      </c>
      <c r="P1591" s="64">
        <f t="shared" si="49"/>
        <v>32.24716385436232</v>
      </c>
    </row>
    <row r="1592" spans="1:16" ht="15">
      <c r="A1592" s="3" t="str">
        <f>"060020"</f>
        <v>060020</v>
      </c>
      <c r="B1592" s="3" t="s">
        <v>2778</v>
      </c>
      <c r="C1592" s="61" t="s">
        <v>3296</v>
      </c>
      <c r="D1592" s="3" t="s">
        <v>3249</v>
      </c>
      <c r="E1592" s="3">
        <v>1</v>
      </c>
      <c r="F1592" s="3" t="s">
        <v>3220</v>
      </c>
      <c r="G1592" s="9">
        <v>272</v>
      </c>
      <c r="H1592" s="66">
        <v>8024</v>
      </c>
      <c r="I1592" s="9">
        <v>296.78620000000001</v>
      </c>
      <c r="J1592" s="10">
        <v>1.0911257352941177</v>
      </c>
      <c r="K1592" s="66">
        <v>1309.0903144038639</v>
      </c>
      <c r="L1592" s="69">
        <v>9333.0903144038639</v>
      </c>
      <c r="M1592" s="64">
        <v>0</v>
      </c>
      <c r="N1592" s="67">
        <v>0</v>
      </c>
      <c r="O1592" s="64">
        <f t="shared" si="48"/>
        <v>9333.0903144038639</v>
      </c>
      <c r="P1592" s="64">
        <f t="shared" si="49"/>
        <v>34.312832038249496</v>
      </c>
    </row>
    <row r="1593" spans="1:16" ht="15">
      <c r="A1593" s="3" t="s">
        <v>1581</v>
      </c>
      <c r="B1593" s="3" t="s">
        <v>1582</v>
      </c>
      <c r="C1593" s="61" t="s">
        <v>3296</v>
      </c>
      <c r="D1593" s="3" t="s">
        <v>3248</v>
      </c>
      <c r="E1593" s="3">
        <v>1</v>
      </c>
      <c r="F1593" s="3" t="s">
        <v>3224</v>
      </c>
      <c r="G1593" s="9">
        <v>684.03699099999994</v>
      </c>
      <c r="H1593" s="66">
        <v>20179.0912345</v>
      </c>
      <c r="I1593" s="9">
        <v>845.20962161975694</v>
      </c>
      <c r="J1593" s="10">
        <v>1.2356197584930857</v>
      </c>
      <c r="K1593" s="66">
        <v>8512.3790533165811</v>
      </c>
      <c r="L1593" s="69">
        <v>28691.470287816581</v>
      </c>
      <c r="M1593" s="64">
        <v>1189407.479135077</v>
      </c>
      <c r="N1593" s="67">
        <v>23840.84233448439</v>
      </c>
      <c r="O1593" s="64">
        <f t="shared" si="48"/>
        <v>52532.312622300975</v>
      </c>
      <c r="P1593" s="64">
        <f t="shared" si="49"/>
        <v>76.797473401991766</v>
      </c>
    </row>
    <row r="1594" spans="1:16" ht="15">
      <c r="A1594" s="3" t="s">
        <v>1594</v>
      </c>
      <c r="B1594" s="3" t="s">
        <v>1883</v>
      </c>
      <c r="C1594" s="61" t="s">
        <v>3296</v>
      </c>
      <c r="D1594" s="3" t="s">
        <v>3248</v>
      </c>
      <c r="E1594" s="3">
        <v>1</v>
      </c>
      <c r="F1594" s="3" t="s">
        <v>3223</v>
      </c>
      <c r="G1594" s="9">
        <v>1078.772236</v>
      </c>
      <c r="H1594" s="66">
        <v>31823.780962000001</v>
      </c>
      <c r="I1594" s="9">
        <v>1351.36359263688</v>
      </c>
      <c r="J1594" s="10">
        <v>1.2526866631714833</v>
      </c>
      <c r="K1594" s="66">
        <v>14396.991259795728</v>
      </c>
      <c r="L1594" s="69">
        <v>46220.772221795727</v>
      </c>
      <c r="M1594" s="64">
        <v>681624.40655604319</v>
      </c>
      <c r="N1594" s="67">
        <v>13662.685238751219</v>
      </c>
      <c r="O1594" s="64">
        <f t="shared" si="48"/>
        <v>59883.457460546946</v>
      </c>
      <c r="P1594" s="64">
        <f t="shared" si="49"/>
        <v>55.510751447024582</v>
      </c>
    </row>
    <row r="1595" spans="1:16" ht="15">
      <c r="A1595" s="3" t="s">
        <v>1583</v>
      </c>
      <c r="B1595" s="3" t="s">
        <v>1584</v>
      </c>
      <c r="C1595" s="61" t="s">
        <v>3296</v>
      </c>
      <c r="D1595" s="3" t="s">
        <v>3248</v>
      </c>
      <c r="E1595" s="3">
        <v>1</v>
      </c>
      <c r="F1595" s="3" t="s">
        <v>1904</v>
      </c>
      <c r="G1595" s="9">
        <v>1622.5082170000001</v>
      </c>
      <c r="H1595" s="66">
        <v>47863.9924015</v>
      </c>
      <c r="I1595" s="9">
        <v>1847.9901018361199</v>
      </c>
      <c r="J1595" s="10">
        <v>1.138971182070827</v>
      </c>
      <c r="K1595" s="66">
        <v>11908.89089543746</v>
      </c>
      <c r="L1595" s="69">
        <v>59772.883296937463</v>
      </c>
      <c r="M1595" s="64">
        <v>1095949.7703388552</v>
      </c>
      <c r="N1595" s="67">
        <v>21967.547824874335</v>
      </c>
      <c r="O1595" s="64">
        <f t="shared" si="48"/>
        <v>81740.431121811795</v>
      </c>
      <c r="P1595" s="64">
        <f t="shared" si="49"/>
        <v>50.37905525862233</v>
      </c>
    </row>
    <row r="1596" spans="1:16" ht="15">
      <c r="A1596" s="3" t="s">
        <v>1585</v>
      </c>
      <c r="B1596" s="3" t="s">
        <v>1586</v>
      </c>
      <c r="C1596" s="61" t="s">
        <v>3296</v>
      </c>
      <c r="D1596" s="3" t="s">
        <v>3248</v>
      </c>
      <c r="E1596" s="3">
        <v>1</v>
      </c>
      <c r="F1596" s="3" t="s">
        <v>1905</v>
      </c>
      <c r="G1596" s="9">
        <v>1234.183663</v>
      </c>
      <c r="H1596" s="66">
        <v>36408.418058499999</v>
      </c>
      <c r="I1596" s="9">
        <v>1615.41401109048</v>
      </c>
      <c r="J1596" s="10">
        <v>1.3088927195518063</v>
      </c>
      <c r="K1596" s="66">
        <v>20134.790982161881</v>
      </c>
      <c r="L1596" s="69">
        <v>56543.209040661881</v>
      </c>
      <c r="M1596" s="64">
        <v>1099254.1542719731</v>
      </c>
      <c r="N1596" s="67">
        <v>22033.781893302552</v>
      </c>
      <c r="O1596" s="64">
        <f t="shared" si="48"/>
        <v>78576.990933964436</v>
      </c>
      <c r="P1596" s="64">
        <f t="shared" si="49"/>
        <v>63.667177981405864</v>
      </c>
    </row>
    <row r="1597" spans="1:16" ht="15">
      <c r="A1597" s="3" t="s">
        <v>1587</v>
      </c>
      <c r="B1597" s="3" t="s">
        <v>1588</v>
      </c>
      <c r="C1597" s="61" t="s">
        <v>3296</v>
      </c>
      <c r="D1597" s="3" t="s">
        <v>3248</v>
      </c>
      <c r="E1597" s="3">
        <v>1</v>
      </c>
      <c r="F1597" s="3" t="s">
        <v>3223</v>
      </c>
      <c r="G1597" s="9">
        <v>474.35398600000002</v>
      </c>
      <c r="H1597" s="66">
        <v>13993.442587000001</v>
      </c>
      <c r="I1597" s="9">
        <v>576.77236052779904</v>
      </c>
      <c r="J1597" s="10">
        <v>1.2159112762842874</v>
      </c>
      <c r="K1597" s="66">
        <v>5409.2560421254193</v>
      </c>
      <c r="L1597" s="69">
        <v>19402.698629125422</v>
      </c>
      <c r="M1597" s="64">
        <v>363992.52008215059</v>
      </c>
      <c r="N1597" s="67">
        <v>7295.9758824794453</v>
      </c>
      <c r="O1597" s="64">
        <f t="shared" si="48"/>
        <v>26698.674511604866</v>
      </c>
      <c r="P1597" s="64">
        <f t="shared" si="49"/>
        <v>56.284284099185086</v>
      </c>
    </row>
    <row r="1598" spans="1:16" ht="15">
      <c r="A1598" s="3" t="s">
        <v>1589</v>
      </c>
      <c r="B1598" s="3" t="s">
        <v>1590</v>
      </c>
      <c r="C1598" s="61" t="s">
        <v>3296</v>
      </c>
      <c r="D1598" s="3" t="s">
        <v>3248</v>
      </c>
      <c r="E1598" s="3">
        <v>1</v>
      </c>
      <c r="F1598" s="3" t="s">
        <v>3224</v>
      </c>
      <c r="G1598" s="9">
        <v>679.09685999999999</v>
      </c>
      <c r="H1598" s="66">
        <v>20033.357370000002</v>
      </c>
      <c r="I1598" s="9">
        <v>793.72248986704005</v>
      </c>
      <c r="J1598" s="10">
        <v>1.1687912823909097</v>
      </c>
      <c r="K1598" s="66">
        <v>6053.9857598738154</v>
      </c>
      <c r="L1598" s="69">
        <v>26087.343129873818</v>
      </c>
      <c r="M1598" s="64">
        <v>944950.34658535128</v>
      </c>
      <c r="N1598" s="67">
        <v>18940.869821366967</v>
      </c>
      <c r="O1598" s="64">
        <f t="shared" si="48"/>
        <v>45028.212951240785</v>
      </c>
      <c r="P1598" s="64">
        <f t="shared" si="49"/>
        <v>66.306024373667086</v>
      </c>
    </row>
    <row r="1599" spans="1:16" ht="15">
      <c r="A1599" s="3" t="s">
        <v>1577</v>
      </c>
      <c r="B1599" s="3" t="s">
        <v>1578</v>
      </c>
      <c r="C1599" s="61" t="s">
        <v>3296</v>
      </c>
      <c r="D1599" s="3" t="s">
        <v>3248</v>
      </c>
      <c r="E1599" s="3">
        <v>1</v>
      </c>
      <c r="F1599" s="3" t="s">
        <v>1904</v>
      </c>
      <c r="G1599" s="9">
        <v>635.55042800000001</v>
      </c>
      <c r="H1599" s="66">
        <v>18748.737626000002</v>
      </c>
      <c r="I1599" s="9">
        <v>743.35041614758302</v>
      </c>
      <c r="J1599" s="10">
        <v>1.1696167344058228</v>
      </c>
      <c r="K1599" s="66">
        <v>5693.4875203481051</v>
      </c>
      <c r="L1599" s="69">
        <v>24442.225146348108</v>
      </c>
      <c r="M1599" s="64">
        <v>771108.42290715314</v>
      </c>
      <c r="N1599" s="67">
        <v>15456.32985820039</v>
      </c>
      <c r="O1599" s="64">
        <f t="shared" si="48"/>
        <v>39898.5550045485</v>
      </c>
      <c r="P1599" s="64">
        <f t="shared" si="49"/>
        <v>62.777953167468404</v>
      </c>
    </row>
    <row r="1600" spans="1:16" ht="15">
      <c r="A1600" s="3" t="s">
        <v>1591</v>
      </c>
      <c r="B1600" s="3" t="s">
        <v>1882</v>
      </c>
      <c r="C1600" s="61" t="s">
        <v>3296</v>
      </c>
      <c r="D1600" s="3" t="s">
        <v>3248</v>
      </c>
      <c r="E1600" s="3">
        <v>1</v>
      </c>
      <c r="F1600" s="3" t="s">
        <v>1904</v>
      </c>
      <c r="G1600" s="9">
        <v>766.38298199999997</v>
      </c>
      <c r="H1600" s="66">
        <v>22608.297968999999</v>
      </c>
      <c r="I1600" s="9">
        <v>897.99033688291695</v>
      </c>
      <c r="J1600" s="10">
        <v>1.171725309634964</v>
      </c>
      <c r="K1600" s="66">
        <v>6950.8804730672155</v>
      </c>
      <c r="L1600" s="69">
        <v>29559.178442067216</v>
      </c>
      <c r="M1600" s="64">
        <v>81919.037225750988</v>
      </c>
      <c r="N1600" s="67">
        <v>1642.0098956432485</v>
      </c>
      <c r="O1600" s="64">
        <f t="shared" si="48"/>
        <v>31201.188337710464</v>
      </c>
      <c r="P1600" s="64">
        <f t="shared" si="49"/>
        <v>40.712266674144999</v>
      </c>
    </row>
    <row r="1601" spans="1:16" ht="15">
      <c r="A1601" s="3" t="s">
        <v>932</v>
      </c>
      <c r="B1601" s="3" t="s">
        <v>933</v>
      </c>
      <c r="C1601" s="61" t="s">
        <v>3296</v>
      </c>
      <c r="D1601" s="3" t="s">
        <v>3248</v>
      </c>
      <c r="E1601" s="3">
        <v>1</v>
      </c>
      <c r="F1601" s="3" t="s">
        <v>3223</v>
      </c>
      <c r="G1601" s="9">
        <v>961.49588300000005</v>
      </c>
      <c r="H1601" s="66">
        <v>28364.128548500001</v>
      </c>
      <c r="I1601" s="9">
        <v>1184.7043104101101</v>
      </c>
      <c r="J1601" s="10">
        <v>1.2321470443676461</v>
      </c>
      <c r="K1601" s="66">
        <v>11788.817584619383</v>
      </c>
      <c r="L1601" s="69">
        <v>40152.946133119382</v>
      </c>
      <c r="M1601" s="64">
        <v>486751.48851346457</v>
      </c>
      <c r="N1601" s="67">
        <v>9756.5936798747898</v>
      </c>
      <c r="O1601" s="64">
        <f t="shared" si="48"/>
        <v>49909.539812994175</v>
      </c>
      <c r="P1601" s="64">
        <f t="shared" si="49"/>
        <v>51.90821998870085</v>
      </c>
    </row>
    <row r="1602" spans="1:16" ht="15">
      <c r="A1602" s="3" t="s">
        <v>727</v>
      </c>
      <c r="B1602" s="3" t="s">
        <v>728</v>
      </c>
      <c r="C1602" s="61" t="s">
        <v>3296</v>
      </c>
      <c r="D1602" s="3" t="s">
        <v>3248</v>
      </c>
      <c r="E1602" s="3">
        <v>1</v>
      </c>
      <c r="F1602" s="3" t="s">
        <v>1905</v>
      </c>
      <c r="G1602" s="9">
        <v>2209.030745</v>
      </c>
      <c r="H1602" s="66">
        <v>65166.406977500003</v>
      </c>
      <c r="I1602" s="9">
        <v>2835.2591774453799</v>
      </c>
      <c r="J1602" s="10">
        <v>1.2834856118968956</v>
      </c>
      <c r="K1602" s="66">
        <v>33074.435593941831</v>
      </c>
      <c r="L1602" s="69">
        <v>98240.842571441841</v>
      </c>
      <c r="M1602" s="64">
        <v>1103659.9840487605</v>
      </c>
      <c r="N1602" s="67">
        <v>22122.093674507549</v>
      </c>
      <c r="O1602" s="64">
        <f t="shared" si="48"/>
        <v>120362.93624594939</v>
      </c>
      <c r="P1602" s="64">
        <f t="shared" si="49"/>
        <v>54.486763716794435</v>
      </c>
    </row>
    <row r="1603" spans="1:16" ht="15">
      <c r="A1603" s="3" t="s">
        <v>363</v>
      </c>
      <c r="B1603" s="3" t="s">
        <v>364</v>
      </c>
      <c r="C1603" s="61" t="s">
        <v>3296</v>
      </c>
      <c r="D1603" s="3" t="s">
        <v>1684</v>
      </c>
      <c r="E1603" s="3">
        <v>1</v>
      </c>
      <c r="F1603" s="3" t="s">
        <v>3266</v>
      </c>
      <c r="G1603" s="9">
        <v>170.61080799999999</v>
      </c>
      <c r="H1603" s="66">
        <v>5033.0188360000002</v>
      </c>
      <c r="I1603" s="9">
        <v>226.67324875700299</v>
      </c>
      <c r="J1603" s="10">
        <v>1.3285984130442838</v>
      </c>
      <c r="K1603" s="66">
        <v>2960.9540065372275</v>
      </c>
      <c r="L1603" s="69">
        <v>7993.9728425372277</v>
      </c>
      <c r="M1603" s="64">
        <v>0</v>
      </c>
      <c r="N1603" s="67">
        <v>0</v>
      </c>
      <c r="O1603" s="64">
        <f t="shared" ref="O1603:O1666" si="50">(N1603+L1603)</f>
        <v>7993.9728425372277</v>
      </c>
      <c r="P1603" s="64">
        <f t="shared" ref="P1603:P1666" si="51">O1603/G1603</f>
        <v>46.85502012590684</v>
      </c>
    </row>
    <row r="1604" spans="1:16" ht="15">
      <c r="A1604" s="3" t="s">
        <v>1592</v>
      </c>
      <c r="B1604" s="3" t="s">
        <v>1593</v>
      </c>
      <c r="C1604" s="61" t="s">
        <v>3296</v>
      </c>
      <c r="D1604" s="3" t="s">
        <v>3248</v>
      </c>
      <c r="E1604" s="3">
        <v>1</v>
      </c>
      <c r="F1604" s="3" t="s">
        <v>3224</v>
      </c>
      <c r="G1604" s="9">
        <v>484.24388099999999</v>
      </c>
      <c r="H1604" s="66">
        <v>14285.1944895</v>
      </c>
      <c r="I1604" s="9">
        <v>589.15349574963398</v>
      </c>
      <c r="J1604" s="10">
        <v>1.2166462372905731</v>
      </c>
      <c r="K1604" s="66">
        <v>5540.8316142283429</v>
      </c>
      <c r="L1604" s="69">
        <v>19826.026103728342</v>
      </c>
      <c r="M1604" s="64">
        <v>391005.38220662251</v>
      </c>
      <c r="N1604" s="67">
        <v>7837.4298401937649</v>
      </c>
      <c r="O1604" s="64">
        <f t="shared" si="50"/>
        <v>27663.455943922105</v>
      </c>
      <c r="P1604" s="64">
        <f t="shared" si="51"/>
        <v>57.127115136271811</v>
      </c>
    </row>
    <row r="1605" spans="1:16" ht="15">
      <c r="A1605" s="3" t="str">
        <f>"059790"</f>
        <v>059790</v>
      </c>
      <c r="B1605" s="3" t="s">
        <v>2721</v>
      </c>
      <c r="C1605" s="61" t="s">
        <v>3296</v>
      </c>
      <c r="D1605" s="3" t="s">
        <v>3249</v>
      </c>
      <c r="E1605" s="3">
        <v>1</v>
      </c>
      <c r="F1605" s="3" t="s">
        <v>3220</v>
      </c>
      <c r="G1605" s="9">
        <v>279</v>
      </c>
      <c r="H1605" s="66">
        <v>8230.5</v>
      </c>
      <c r="I1605" s="9">
        <v>301.66019999999997</v>
      </c>
      <c r="J1605" s="10">
        <v>1.0812193548387097</v>
      </c>
      <c r="K1605" s="66">
        <v>1196.8050101449353</v>
      </c>
      <c r="L1605" s="69">
        <v>9427.3050101449353</v>
      </c>
      <c r="M1605" s="64">
        <v>0</v>
      </c>
      <c r="N1605" s="67">
        <v>0</v>
      </c>
      <c r="O1605" s="64">
        <f t="shared" si="50"/>
        <v>9427.3050101449353</v>
      </c>
      <c r="P1605" s="64">
        <f t="shared" si="51"/>
        <v>33.789623692275754</v>
      </c>
    </row>
    <row r="1606" spans="1:16" ht="15">
      <c r="A1606" s="3" t="s">
        <v>258</v>
      </c>
      <c r="B1606" s="3" t="s">
        <v>1802</v>
      </c>
      <c r="C1606" s="61" t="s">
        <v>3296</v>
      </c>
      <c r="D1606" s="3" t="s">
        <v>1684</v>
      </c>
      <c r="E1606" s="3">
        <v>1</v>
      </c>
      <c r="F1606" s="3" t="s">
        <v>3266</v>
      </c>
      <c r="G1606" s="9">
        <v>209.73670999999999</v>
      </c>
      <c r="H1606" s="66">
        <v>6187.2329449999997</v>
      </c>
      <c r="I1606" s="9">
        <v>275.16337300246602</v>
      </c>
      <c r="J1606" s="10">
        <v>1.3119466449267085</v>
      </c>
      <c r="K1606" s="66">
        <v>3455.5281100085481</v>
      </c>
      <c r="L1606" s="69">
        <v>9642.7610550085483</v>
      </c>
      <c r="M1606" s="64">
        <v>0</v>
      </c>
      <c r="N1606" s="67">
        <v>0</v>
      </c>
      <c r="O1606" s="64">
        <f t="shared" si="50"/>
        <v>9642.7610550085483</v>
      </c>
      <c r="P1606" s="64">
        <f t="shared" si="51"/>
        <v>45.975552181630718</v>
      </c>
    </row>
    <row r="1607" spans="1:16" ht="15">
      <c r="A1607" s="3" t="s">
        <v>86</v>
      </c>
      <c r="B1607" s="3" t="s">
        <v>1772</v>
      </c>
      <c r="C1607" s="61" t="s">
        <v>3296</v>
      </c>
      <c r="D1607" s="3" t="s">
        <v>1684</v>
      </c>
      <c r="E1607" s="3">
        <v>1</v>
      </c>
      <c r="F1607" s="3" t="s">
        <v>3266</v>
      </c>
      <c r="G1607" s="9">
        <v>97.018708000000004</v>
      </c>
      <c r="H1607" s="66">
        <v>2862.0518860000002</v>
      </c>
      <c r="I1607" s="9">
        <v>287.39378936387698</v>
      </c>
      <c r="J1607" s="10">
        <v>2.9622512532724818</v>
      </c>
      <c r="K1607" s="66">
        <v>10054.714926745481</v>
      </c>
      <c r="L1607" s="69">
        <v>12916.766812745482</v>
      </c>
      <c r="M1607" s="64">
        <v>0</v>
      </c>
      <c r="N1607" s="67">
        <v>0</v>
      </c>
      <c r="O1607" s="64">
        <f t="shared" si="50"/>
        <v>12916.766812745482</v>
      </c>
      <c r="P1607" s="64">
        <f t="shared" si="51"/>
        <v>133.1368668890693</v>
      </c>
    </row>
    <row r="1608" spans="1:16" ht="15">
      <c r="A1608" s="3" t="s">
        <v>29</v>
      </c>
      <c r="B1608" s="3" t="s">
        <v>1702</v>
      </c>
      <c r="C1608" s="61" t="s">
        <v>3296</v>
      </c>
      <c r="D1608" s="3" t="s">
        <v>1684</v>
      </c>
      <c r="E1608" s="3">
        <v>1</v>
      </c>
      <c r="F1608" s="3" t="s">
        <v>3266</v>
      </c>
      <c r="G1608" s="9">
        <v>127.32142899999999</v>
      </c>
      <c r="H1608" s="66">
        <v>3755.9821554999999</v>
      </c>
      <c r="I1608" s="9">
        <v>342.08294038226501</v>
      </c>
      <c r="J1608" s="10">
        <v>2.6867664231310586</v>
      </c>
      <c r="K1608" s="66">
        <v>11342.691274066143</v>
      </c>
      <c r="L1608" s="69">
        <v>15098.673429566143</v>
      </c>
      <c r="M1608" s="64">
        <v>0</v>
      </c>
      <c r="N1608" s="67">
        <v>0</v>
      </c>
      <c r="O1608" s="64">
        <f t="shared" si="50"/>
        <v>15098.673429566143</v>
      </c>
      <c r="P1608" s="64">
        <f t="shared" si="51"/>
        <v>118.58705599012829</v>
      </c>
    </row>
    <row r="1609" spans="1:16" ht="15">
      <c r="A1609" s="3" t="s">
        <v>515</v>
      </c>
      <c r="B1609" s="3" t="s">
        <v>516</v>
      </c>
      <c r="C1609" s="61" t="s">
        <v>3296</v>
      </c>
      <c r="D1609" s="3" t="s">
        <v>456</v>
      </c>
      <c r="E1609" s="3">
        <v>1</v>
      </c>
      <c r="F1609" s="3" t="s">
        <v>1897</v>
      </c>
      <c r="G1609" s="9">
        <v>954.86188900000002</v>
      </c>
      <c r="H1609" s="66">
        <v>28168.425725500001</v>
      </c>
      <c r="I1609" s="9">
        <v>1405.3773204946301</v>
      </c>
      <c r="J1609" s="10">
        <v>1.4718121402524948</v>
      </c>
      <c r="K1609" s="66">
        <v>23794.102680487431</v>
      </c>
      <c r="L1609" s="69">
        <v>51962.528405987432</v>
      </c>
      <c r="M1609" s="64">
        <v>0</v>
      </c>
      <c r="N1609" s="67">
        <v>0</v>
      </c>
      <c r="O1609" s="64">
        <f t="shared" si="50"/>
        <v>51962.528405987432</v>
      </c>
      <c r="P1609" s="64">
        <f t="shared" si="51"/>
        <v>54.41889450672948</v>
      </c>
    </row>
    <row r="1610" spans="1:16" ht="15">
      <c r="A1610" s="19">
        <v>66266</v>
      </c>
      <c r="B1610" s="20" t="s">
        <v>1934</v>
      </c>
      <c r="C1610" s="61" t="s">
        <v>3296</v>
      </c>
      <c r="D1610" s="19" t="s">
        <v>1973</v>
      </c>
      <c r="E1610" s="19">
        <v>1</v>
      </c>
      <c r="F1610" s="19" t="s">
        <v>1974</v>
      </c>
      <c r="G1610" s="9">
        <v>105.47</v>
      </c>
      <c r="H1610" s="66">
        <v>3111.3649999999998</v>
      </c>
      <c r="I1610" s="9">
        <v>474.94337899999994</v>
      </c>
      <c r="J1610" s="10">
        <v>4.5031134825068735</v>
      </c>
      <c r="K1610" s="66">
        <v>19513.843262741677</v>
      </c>
      <c r="L1610" s="69">
        <v>22625.208262741675</v>
      </c>
      <c r="M1610" s="64">
        <v>0</v>
      </c>
      <c r="N1610" s="67">
        <v>0</v>
      </c>
      <c r="O1610" s="64">
        <f t="shared" si="50"/>
        <v>22625.208262741675</v>
      </c>
      <c r="P1610" s="64">
        <f t="shared" si="51"/>
        <v>214.51795072287547</v>
      </c>
    </row>
    <row r="1611" spans="1:16" ht="15">
      <c r="A1611" s="3" t="str">
        <f>"090456"</f>
        <v>090456</v>
      </c>
      <c r="B1611" s="3" t="s">
        <v>2657</v>
      </c>
      <c r="C1611" s="61" t="s">
        <v>3296</v>
      </c>
      <c r="D1611" s="3" t="s">
        <v>3249</v>
      </c>
      <c r="E1611" s="3">
        <v>1</v>
      </c>
      <c r="F1611" s="3" t="s">
        <v>3220</v>
      </c>
      <c r="G1611" s="9">
        <v>129</v>
      </c>
      <c r="H1611" s="66">
        <v>3805.5</v>
      </c>
      <c r="I1611" s="9">
        <v>136.57479999999998</v>
      </c>
      <c r="J1611" s="10">
        <v>1.058719379844961</v>
      </c>
      <c r="K1611" s="66">
        <v>400.06525056468359</v>
      </c>
      <c r="L1611" s="69">
        <v>4205.565250564684</v>
      </c>
      <c r="M1611" s="64">
        <v>0</v>
      </c>
      <c r="N1611" s="67">
        <v>0</v>
      </c>
      <c r="O1611" s="64">
        <f t="shared" si="50"/>
        <v>4205.565250564684</v>
      </c>
      <c r="P1611" s="64">
        <f t="shared" si="51"/>
        <v>32.601281012129334</v>
      </c>
    </row>
    <row r="1612" spans="1:16" ht="15">
      <c r="A1612" s="3" t="str">
        <f>"123133"</f>
        <v>123133</v>
      </c>
      <c r="B1612" s="3" t="s">
        <v>2643</v>
      </c>
      <c r="C1612" s="61" t="s">
        <v>3296</v>
      </c>
      <c r="D1612" s="3" t="s">
        <v>3249</v>
      </c>
      <c r="E1612" s="3">
        <v>1</v>
      </c>
      <c r="F1612" s="3" t="s">
        <v>3220</v>
      </c>
      <c r="G1612" s="9">
        <v>10</v>
      </c>
      <c r="H1612" s="66">
        <v>295</v>
      </c>
      <c r="I1612" s="9">
        <v>10</v>
      </c>
      <c r="J1612" s="10">
        <v>1</v>
      </c>
      <c r="K1612" s="66">
        <v>0</v>
      </c>
      <c r="L1612" s="69">
        <v>295</v>
      </c>
      <c r="M1612" s="64">
        <v>0</v>
      </c>
      <c r="N1612" s="67">
        <v>0</v>
      </c>
      <c r="O1612" s="64">
        <f t="shared" si="50"/>
        <v>295</v>
      </c>
      <c r="P1612" s="64">
        <f t="shared" si="51"/>
        <v>29.5</v>
      </c>
    </row>
    <row r="1613" spans="1:16" ht="15">
      <c r="A1613" s="3" t="s">
        <v>821</v>
      </c>
      <c r="B1613" s="3" t="s">
        <v>822</v>
      </c>
      <c r="C1613" s="61" t="s">
        <v>3296</v>
      </c>
      <c r="D1613" s="3" t="s">
        <v>3248</v>
      </c>
      <c r="E1613" s="3">
        <v>1</v>
      </c>
      <c r="F1613" s="3" t="s">
        <v>1909</v>
      </c>
      <c r="G1613" s="9">
        <v>4759.5135460000001</v>
      </c>
      <c r="H1613" s="66">
        <v>140405.649607</v>
      </c>
      <c r="I1613" s="9">
        <v>6719.2273331527103</v>
      </c>
      <c r="J1613" s="10">
        <v>1.411746656084149</v>
      </c>
      <c r="K1613" s="66">
        <v>103502.84988281089</v>
      </c>
      <c r="L1613" s="69">
        <v>243908.4994898109</v>
      </c>
      <c r="M1613" s="64">
        <v>2418799.7075281665</v>
      </c>
      <c r="N1613" s="67">
        <v>48483.151045771272</v>
      </c>
      <c r="O1613" s="64">
        <f t="shared" si="50"/>
        <v>292391.65053558216</v>
      </c>
      <c r="P1613" s="64">
        <f t="shared" si="51"/>
        <v>61.433095569465188</v>
      </c>
    </row>
    <row r="1614" spans="1:16" ht="15">
      <c r="A1614" s="3" t="s">
        <v>1595</v>
      </c>
      <c r="B1614" s="3" t="s">
        <v>1596</v>
      </c>
      <c r="C1614" s="61" t="s">
        <v>3296</v>
      </c>
      <c r="D1614" s="3" t="s">
        <v>3248</v>
      </c>
      <c r="E1614" s="3">
        <v>1</v>
      </c>
      <c r="F1614" s="3" t="s">
        <v>1904</v>
      </c>
      <c r="G1614" s="9">
        <v>986.19713000000002</v>
      </c>
      <c r="H1614" s="66">
        <v>29092.815334999999</v>
      </c>
      <c r="I1614" s="9">
        <v>1195.4270258781701</v>
      </c>
      <c r="J1614" s="10">
        <v>1.2121582891629081</v>
      </c>
      <c r="K1614" s="66">
        <v>11050.53740298397</v>
      </c>
      <c r="L1614" s="69">
        <v>40143.352737983965</v>
      </c>
      <c r="M1614" s="64">
        <v>345857.52136128867</v>
      </c>
      <c r="N1614" s="67">
        <v>6932.4724971177293</v>
      </c>
      <c r="O1614" s="64">
        <f t="shared" si="50"/>
        <v>47075.825235101693</v>
      </c>
      <c r="P1614" s="64">
        <f t="shared" si="51"/>
        <v>47.734701108998046</v>
      </c>
    </row>
    <row r="1615" spans="1:16" ht="15">
      <c r="A1615" s="3" t="s">
        <v>517</v>
      </c>
      <c r="B1615" s="3" t="s">
        <v>518</v>
      </c>
      <c r="C1615" s="61" t="s">
        <v>3313</v>
      </c>
      <c r="D1615" s="3" t="s">
        <v>456</v>
      </c>
      <c r="E1615" s="3">
        <v>1</v>
      </c>
      <c r="F1615" s="3" t="s">
        <v>1897</v>
      </c>
      <c r="G1615" s="9">
        <v>946.67521099999999</v>
      </c>
      <c r="H1615" s="66">
        <v>27926.918724499999</v>
      </c>
      <c r="I1615" s="9">
        <v>1300.53580454086</v>
      </c>
      <c r="J1615" s="10">
        <v>1.3737930278823578</v>
      </c>
      <c r="K1615" s="66">
        <v>18689.249487761022</v>
      </c>
      <c r="L1615" s="69">
        <v>46616.168212261022</v>
      </c>
      <c r="M1615" s="64">
        <v>0</v>
      </c>
      <c r="N1615" s="67">
        <v>0</v>
      </c>
      <c r="O1615" s="64">
        <f t="shared" si="50"/>
        <v>46616.168212261022</v>
      </c>
      <c r="P1615" s="64">
        <f t="shared" si="51"/>
        <v>49.241986766526857</v>
      </c>
    </row>
    <row r="1616" spans="1:16" ht="15">
      <c r="A1616" s="3" t="str">
        <f>"053116"</f>
        <v>053116</v>
      </c>
      <c r="B1616" s="3" t="s">
        <v>2970</v>
      </c>
      <c r="C1616" s="61" t="s">
        <v>3313</v>
      </c>
      <c r="D1616" s="3" t="s">
        <v>3249</v>
      </c>
      <c r="E1616" s="3">
        <v>1</v>
      </c>
      <c r="F1616" s="3" t="s">
        <v>3220</v>
      </c>
      <c r="G1616" s="9">
        <v>159</v>
      </c>
      <c r="H1616" s="66">
        <v>4690.5</v>
      </c>
      <c r="I1616" s="9">
        <v>176.2234</v>
      </c>
      <c r="J1616" s="10">
        <v>1.1083232704402515</v>
      </c>
      <c r="K1616" s="66">
        <v>909.65884730630364</v>
      </c>
      <c r="L1616" s="69">
        <v>5600.1588473063039</v>
      </c>
      <c r="M1616" s="64">
        <v>0</v>
      </c>
      <c r="N1616" s="67">
        <v>0</v>
      </c>
      <c r="O1616" s="64">
        <f t="shared" si="50"/>
        <v>5600.1588473063039</v>
      </c>
      <c r="P1616" s="64">
        <f t="shared" si="51"/>
        <v>35.221124825825811</v>
      </c>
    </row>
    <row r="1617" spans="1:16" ht="15">
      <c r="A1617" s="3" t="s">
        <v>600</v>
      </c>
      <c r="B1617" s="3" t="s">
        <v>601</v>
      </c>
      <c r="C1617" s="61" t="s">
        <v>3313</v>
      </c>
      <c r="D1617" s="3" t="s">
        <v>3248</v>
      </c>
      <c r="E1617" s="3">
        <v>1</v>
      </c>
      <c r="F1617" s="3" t="s">
        <v>3223</v>
      </c>
      <c r="G1617" s="9">
        <v>1873.0569370000001</v>
      </c>
      <c r="H1617" s="66">
        <v>55255.179641499999</v>
      </c>
      <c r="I1617" s="9">
        <v>2600.0715216997701</v>
      </c>
      <c r="J1617" s="10">
        <v>1.3881433448916936</v>
      </c>
      <c r="K1617" s="66">
        <v>38397.485345103974</v>
      </c>
      <c r="L1617" s="69">
        <v>93652.664986603981</v>
      </c>
      <c r="M1617" s="64">
        <v>824604.52263575257</v>
      </c>
      <c r="N1617" s="67">
        <v>16528.621819965119</v>
      </c>
      <c r="O1617" s="64">
        <f t="shared" si="50"/>
        <v>110181.2868065691</v>
      </c>
      <c r="P1617" s="64">
        <f t="shared" si="51"/>
        <v>58.824312614352252</v>
      </c>
    </row>
    <row r="1618" spans="1:16" ht="15">
      <c r="A1618" s="3" t="s">
        <v>620</v>
      </c>
      <c r="B1618" s="3" t="s">
        <v>621</v>
      </c>
      <c r="C1618" s="61" t="s">
        <v>3313</v>
      </c>
      <c r="D1618" s="3" t="s">
        <v>3248</v>
      </c>
      <c r="E1618" s="3">
        <v>1</v>
      </c>
      <c r="F1618" s="3" t="s">
        <v>1904</v>
      </c>
      <c r="G1618" s="9">
        <v>2678.697017</v>
      </c>
      <c r="H1618" s="66">
        <v>79021.562001500002</v>
      </c>
      <c r="I1618" s="9">
        <v>3130.71746448262</v>
      </c>
      <c r="J1618" s="10">
        <v>1.1687463884918419</v>
      </c>
      <c r="K1618" s="66">
        <v>23873.590534732964</v>
      </c>
      <c r="L1618" s="69">
        <v>102895.15253623297</v>
      </c>
      <c r="M1618" s="64">
        <v>958267.641982186</v>
      </c>
      <c r="N1618" s="67">
        <v>19207.805707888019</v>
      </c>
      <c r="O1618" s="64">
        <f t="shared" si="50"/>
        <v>122102.95824412099</v>
      </c>
      <c r="P1618" s="64">
        <f t="shared" si="51"/>
        <v>45.582967192336632</v>
      </c>
    </row>
    <row r="1619" spans="1:16" ht="15">
      <c r="A1619" s="3" t="s">
        <v>1597</v>
      </c>
      <c r="B1619" s="3" t="s">
        <v>1598</v>
      </c>
      <c r="C1619" s="61" t="s">
        <v>3313</v>
      </c>
      <c r="D1619" s="3" t="s">
        <v>3248</v>
      </c>
      <c r="E1619" s="3">
        <v>1</v>
      </c>
      <c r="F1619" s="3" t="s">
        <v>3223</v>
      </c>
      <c r="G1619" s="9">
        <v>1201.7148090000001</v>
      </c>
      <c r="H1619" s="66">
        <v>35450.586865500001</v>
      </c>
      <c r="I1619" s="9">
        <v>1426.15800532607</v>
      </c>
      <c r="J1619" s="10">
        <v>1.186769102490165</v>
      </c>
      <c r="K1619" s="66">
        <v>11854.032261673956</v>
      </c>
      <c r="L1619" s="69">
        <v>47304.619127173959</v>
      </c>
      <c r="M1619" s="64">
        <v>1392188.5089158658</v>
      </c>
      <c r="N1619" s="67">
        <v>27905.446470775631</v>
      </c>
      <c r="O1619" s="64">
        <f t="shared" si="50"/>
        <v>75210.065597949593</v>
      </c>
      <c r="P1619" s="64">
        <f t="shared" si="51"/>
        <v>62.585619345521096</v>
      </c>
    </row>
    <row r="1620" spans="1:16" ht="15">
      <c r="A1620" s="3" t="str">
        <f>"057679"</f>
        <v>057679</v>
      </c>
      <c r="B1620" s="3" t="s">
        <v>2671</v>
      </c>
      <c r="C1620" s="61" t="s">
        <v>3313</v>
      </c>
      <c r="D1620" s="3" t="s">
        <v>3249</v>
      </c>
      <c r="E1620" s="3">
        <v>1</v>
      </c>
      <c r="F1620" s="3" t="s">
        <v>3220</v>
      </c>
      <c r="G1620" s="9">
        <v>71</v>
      </c>
      <c r="H1620" s="66">
        <v>2094.5</v>
      </c>
      <c r="I1620" s="9">
        <v>74.112200000000001</v>
      </c>
      <c r="J1620" s="10">
        <v>1.0438338028169014</v>
      </c>
      <c r="K1620" s="66">
        <v>164.3717421987923</v>
      </c>
      <c r="L1620" s="69">
        <v>2258.8717421987922</v>
      </c>
      <c r="M1620" s="64">
        <v>0</v>
      </c>
      <c r="N1620" s="67">
        <v>0</v>
      </c>
      <c r="O1620" s="64">
        <f t="shared" si="50"/>
        <v>2258.8717421987922</v>
      </c>
      <c r="P1620" s="64">
        <f t="shared" si="51"/>
        <v>31.815094960546368</v>
      </c>
    </row>
    <row r="1621" spans="1:16" ht="15">
      <c r="A1621" s="3" t="s">
        <v>1599</v>
      </c>
      <c r="B1621" s="3" t="s">
        <v>1696</v>
      </c>
      <c r="C1621" s="61" t="s">
        <v>3313</v>
      </c>
      <c r="D1621" s="3" t="s">
        <v>3248</v>
      </c>
      <c r="E1621" s="3">
        <v>1</v>
      </c>
      <c r="F1621" s="3" t="s">
        <v>3223</v>
      </c>
      <c r="G1621" s="9">
        <v>1719.717425</v>
      </c>
      <c r="H1621" s="66">
        <v>50731.664037499999</v>
      </c>
      <c r="I1621" s="9">
        <v>2032.5240242316499</v>
      </c>
      <c r="J1621" s="10">
        <v>1.1818941848726396</v>
      </c>
      <c r="K1621" s="66">
        <v>16520.970916710263</v>
      </c>
      <c r="L1621" s="69">
        <v>67252.634954210254</v>
      </c>
      <c r="M1621" s="64">
        <v>2018280.9987464207</v>
      </c>
      <c r="N1621" s="67">
        <v>40455.033217707351</v>
      </c>
      <c r="O1621" s="64">
        <f t="shared" si="50"/>
        <v>107707.66817191761</v>
      </c>
      <c r="P1621" s="64">
        <f t="shared" si="51"/>
        <v>62.631026822280184</v>
      </c>
    </row>
    <row r="1622" spans="1:16" ht="15">
      <c r="A1622" s="3" t="s">
        <v>725</v>
      </c>
      <c r="B1622" s="3" t="s">
        <v>726</v>
      </c>
      <c r="C1622" s="61" t="s">
        <v>3313</v>
      </c>
      <c r="D1622" s="3" t="s">
        <v>3248</v>
      </c>
      <c r="E1622" s="3">
        <v>1</v>
      </c>
      <c r="F1622" s="3" t="s">
        <v>1905</v>
      </c>
      <c r="G1622" s="9">
        <v>3105.5283549999999</v>
      </c>
      <c r="H1622" s="66">
        <v>91613.086472499999</v>
      </c>
      <c r="I1622" s="9">
        <v>3743.6783709751699</v>
      </c>
      <c r="J1622" s="10">
        <v>1.2054883881345755</v>
      </c>
      <c r="K1622" s="66">
        <v>33704.077472535762</v>
      </c>
      <c r="L1622" s="69">
        <v>125317.16394503576</v>
      </c>
      <c r="M1622" s="64">
        <v>848036.2333143726</v>
      </c>
      <c r="N1622" s="67">
        <v>16998.294097730231</v>
      </c>
      <c r="O1622" s="64">
        <f t="shared" si="50"/>
        <v>142315.458042766</v>
      </c>
      <c r="P1622" s="64">
        <f t="shared" si="51"/>
        <v>45.826488047881952</v>
      </c>
    </row>
    <row r="1623" spans="1:16" ht="15">
      <c r="A1623" s="3" t="s">
        <v>928</v>
      </c>
      <c r="B1623" s="3" t="s">
        <v>929</v>
      </c>
      <c r="C1623" s="61" t="s">
        <v>3313</v>
      </c>
      <c r="D1623" s="3" t="s">
        <v>3248</v>
      </c>
      <c r="E1623" s="3">
        <v>1</v>
      </c>
      <c r="F1623" s="3" t="s">
        <v>3223</v>
      </c>
      <c r="G1623" s="9">
        <v>973.20245999999997</v>
      </c>
      <c r="H1623" s="66">
        <v>28709.472569999998</v>
      </c>
      <c r="I1623" s="9">
        <v>1319.7033988221001</v>
      </c>
      <c r="J1623" s="10">
        <v>1.3560419882437413</v>
      </c>
      <c r="K1623" s="66">
        <v>18300.547197386328</v>
      </c>
      <c r="L1623" s="69">
        <v>47010.019767386329</v>
      </c>
      <c r="M1623" s="64">
        <v>630597.05628779915</v>
      </c>
      <c r="N1623" s="67">
        <v>12639.877635946865</v>
      </c>
      <c r="O1623" s="64">
        <f t="shared" si="50"/>
        <v>59649.897403333191</v>
      </c>
      <c r="P1623" s="64">
        <f t="shared" si="51"/>
        <v>61.292382474385846</v>
      </c>
    </row>
    <row r="1624" spans="1:16" ht="15">
      <c r="A1624" s="3" t="s">
        <v>10</v>
      </c>
      <c r="B1624" s="61" t="s">
        <v>11</v>
      </c>
      <c r="C1624" s="61" t="s">
        <v>3313</v>
      </c>
      <c r="D1624" s="3" t="s">
        <v>1684</v>
      </c>
      <c r="E1624" s="3">
        <v>1</v>
      </c>
      <c r="F1624" s="3" t="s">
        <v>3267</v>
      </c>
      <c r="G1624" s="9">
        <v>475.110613</v>
      </c>
      <c r="H1624" s="66">
        <v>2803.1526167000002</v>
      </c>
      <c r="I1624" s="9">
        <v>559.33920457434294</v>
      </c>
      <c r="J1624" s="10">
        <v>1.1772820671011677</v>
      </c>
      <c r="K1624" s="66">
        <v>0</v>
      </c>
      <c r="L1624" s="69">
        <v>2803.1526167000002</v>
      </c>
      <c r="M1624" s="64">
        <v>0</v>
      </c>
      <c r="N1624" s="67">
        <v>0</v>
      </c>
      <c r="O1624" s="64">
        <f t="shared" si="50"/>
        <v>2803.1526167000002</v>
      </c>
      <c r="P1624" s="64">
        <f t="shared" si="51"/>
        <v>5.9</v>
      </c>
    </row>
    <row r="1625" spans="1:16" ht="15">
      <c r="A1625" s="3" t="s">
        <v>1600</v>
      </c>
      <c r="B1625" s="3" t="s">
        <v>1601</v>
      </c>
      <c r="C1625" s="61" t="s">
        <v>3313</v>
      </c>
      <c r="D1625" s="3" t="s">
        <v>3248</v>
      </c>
      <c r="E1625" s="3">
        <v>1</v>
      </c>
      <c r="F1625" s="3" t="s">
        <v>3223</v>
      </c>
      <c r="G1625" s="9">
        <v>531.43318599999998</v>
      </c>
      <c r="H1625" s="66">
        <v>15677.278987</v>
      </c>
      <c r="I1625" s="9">
        <v>613.67509888963696</v>
      </c>
      <c r="J1625" s="10">
        <v>1.1547549439067906</v>
      </c>
      <c r="K1625" s="66">
        <v>4343.6303911801742</v>
      </c>
      <c r="L1625" s="69">
        <v>20020.909378180175</v>
      </c>
      <c r="M1625" s="64">
        <v>289242.89763607673</v>
      </c>
      <c r="N1625" s="67">
        <v>5797.6718995626743</v>
      </c>
      <c r="O1625" s="64">
        <f t="shared" si="50"/>
        <v>25818.581277742851</v>
      </c>
      <c r="P1625" s="64">
        <f t="shared" si="51"/>
        <v>48.582930004944878</v>
      </c>
    </row>
    <row r="1626" spans="1:16" ht="15">
      <c r="A1626" s="3" t="str">
        <f>"057943"</f>
        <v>057943</v>
      </c>
      <c r="B1626" s="3" t="s">
        <v>2996</v>
      </c>
      <c r="C1626" s="61" t="s">
        <v>3313</v>
      </c>
      <c r="D1626" s="3" t="s">
        <v>3249</v>
      </c>
      <c r="E1626" s="3">
        <v>1</v>
      </c>
      <c r="F1626" s="3" t="s">
        <v>3220</v>
      </c>
      <c r="G1626" s="9">
        <v>132</v>
      </c>
      <c r="H1626" s="66">
        <v>3894</v>
      </c>
      <c r="I1626" s="9">
        <v>146.52080000000001</v>
      </c>
      <c r="J1626" s="10">
        <v>1.1100060606060607</v>
      </c>
      <c r="K1626" s="66">
        <v>766.92024745203514</v>
      </c>
      <c r="L1626" s="69">
        <v>4660.9202474520353</v>
      </c>
      <c r="M1626" s="64">
        <v>0</v>
      </c>
      <c r="N1626" s="67">
        <v>0</v>
      </c>
      <c r="O1626" s="64">
        <f t="shared" si="50"/>
        <v>4660.9202474520353</v>
      </c>
      <c r="P1626" s="64">
        <f t="shared" si="51"/>
        <v>35.310001874636633</v>
      </c>
    </row>
    <row r="1627" spans="1:16" ht="15">
      <c r="A1627" s="19">
        <v>71167</v>
      </c>
      <c r="B1627" s="20" t="s">
        <v>1917</v>
      </c>
      <c r="C1627" s="61" t="s">
        <v>3313</v>
      </c>
      <c r="D1627" s="19" t="s">
        <v>1973</v>
      </c>
      <c r="E1627" s="19">
        <v>1</v>
      </c>
      <c r="F1627" s="19" t="s">
        <v>1974</v>
      </c>
      <c r="G1627" s="9">
        <v>7</v>
      </c>
      <c r="H1627" s="66">
        <v>206.5</v>
      </c>
      <c r="I1627" s="9">
        <v>31.505500000000001</v>
      </c>
      <c r="J1627" s="10">
        <v>4.5007857142857146</v>
      </c>
      <c r="K1627" s="66">
        <v>1294.2650628020383</v>
      </c>
      <c r="L1627" s="69">
        <v>1500.7650628020383</v>
      </c>
      <c r="M1627" s="64">
        <v>0</v>
      </c>
      <c r="N1627" s="67">
        <v>0</v>
      </c>
      <c r="O1627" s="64">
        <f t="shared" si="50"/>
        <v>1500.7650628020383</v>
      </c>
      <c r="P1627" s="64">
        <f t="shared" si="51"/>
        <v>214.39500897171976</v>
      </c>
    </row>
    <row r="1628" spans="1:16" ht="15">
      <c r="A1628" s="3" t="s">
        <v>1602</v>
      </c>
      <c r="B1628" s="3" t="s">
        <v>1603</v>
      </c>
      <c r="C1628" s="61" t="s">
        <v>3313</v>
      </c>
      <c r="D1628" s="3" t="s">
        <v>3248</v>
      </c>
      <c r="E1628" s="3">
        <v>1</v>
      </c>
      <c r="F1628" s="3" t="s">
        <v>1904</v>
      </c>
      <c r="G1628" s="9">
        <v>1294.2082760000001</v>
      </c>
      <c r="H1628" s="66">
        <v>38179.144142000005</v>
      </c>
      <c r="I1628" s="9">
        <v>1463.85811413137</v>
      </c>
      <c r="J1628" s="10">
        <v>1.1310838767433209</v>
      </c>
      <c r="K1628" s="66">
        <v>8960.1052173370535</v>
      </c>
      <c r="L1628" s="69">
        <v>47139.24935933706</v>
      </c>
      <c r="M1628" s="64">
        <v>1372100.8339983835</v>
      </c>
      <c r="N1628" s="67">
        <v>27502.803054641801</v>
      </c>
      <c r="O1628" s="64">
        <f t="shared" si="50"/>
        <v>74642.052413978861</v>
      </c>
      <c r="P1628" s="64">
        <f t="shared" si="51"/>
        <v>57.673910604771052</v>
      </c>
    </row>
    <row r="1629" spans="1:16" ht="15">
      <c r="A1629" s="3" t="s">
        <v>1604</v>
      </c>
      <c r="B1629" s="3" t="s">
        <v>1605</v>
      </c>
      <c r="C1629" s="61" t="s">
        <v>3295</v>
      </c>
      <c r="D1629" s="3" t="s">
        <v>3248</v>
      </c>
      <c r="E1629" s="3">
        <v>1</v>
      </c>
      <c r="F1629" s="3" t="s">
        <v>1904</v>
      </c>
      <c r="G1629" s="9">
        <v>1061.1668990000001</v>
      </c>
      <c r="H1629" s="66">
        <v>31304.4235205</v>
      </c>
      <c r="I1629" s="9">
        <v>1185.02631719393</v>
      </c>
      <c r="J1629" s="10">
        <v>1.1167200167199429</v>
      </c>
      <c r="K1629" s="66">
        <v>6541.6709582498079</v>
      </c>
      <c r="L1629" s="69">
        <v>37846.094478749808</v>
      </c>
      <c r="M1629" s="64">
        <v>1045589.656130659</v>
      </c>
      <c r="N1629" s="67">
        <v>20958.114502950619</v>
      </c>
      <c r="O1629" s="64">
        <f t="shared" si="50"/>
        <v>58804.208981700431</v>
      </c>
      <c r="P1629" s="64">
        <f t="shared" si="51"/>
        <v>55.414665720458387</v>
      </c>
    </row>
    <row r="1630" spans="1:16" ht="15">
      <c r="A1630" s="3" t="s">
        <v>914</v>
      </c>
      <c r="B1630" s="3" t="s">
        <v>915</v>
      </c>
      <c r="C1630" s="61" t="s">
        <v>3295</v>
      </c>
      <c r="D1630" s="3" t="s">
        <v>3248</v>
      </c>
      <c r="E1630" s="3">
        <v>1</v>
      </c>
      <c r="F1630" s="3" t="s">
        <v>1906</v>
      </c>
      <c r="G1630" s="9">
        <v>5005.4301779999996</v>
      </c>
      <c r="H1630" s="66">
        <v>147660.19025099999</v>
      </c>
      <c r="I1630" s="9">
        <v>6145.2834721278696</v>
      </c>
      <c r="J1630" s="10">
        <v>1.2277233431679426</v>
      </c>
      <c r="K1630" s="66">
        <v>60201.681063823125</v>
      </c>
      <c r="L1630" s="69">
        <v>207861.8713148231</v>
      </c>
      <c r="M1630" s="64">
        <v>3392002.2520091976</v>
      </c>
      <c r="N1630" s="67">
        <v>67990.316444935816</v>
      </c>
      <c r="O1630" s="64">
        <f t="shared" si="50"/>
        <v>275852.1877597589</v>
      </c>
      <c r="P1630" s="64">
        <f t="shared" si="51"/>
        <v>55.110585494168276</v>
      </c>
    </row>
    <row r="1631" spans="1:16" ht="15">
      <c r="A1631" s="3" t="s">
        <v>1606</v>
      </c>
      <c r="B1631" s="3" t="s">
        <v>1743</v>
      </c>
      <c r="C1631" s="61" t="s">
        <v>3295</v>
      </c>
      <c r="D1631" s="3" t="s">
        <v>3248</v>
      </c>
      <c r="E1631" s="3">
        <v>1</v>
      </c>
      <c r="F1631" s="3" t="s">
        <v>3224</v>
      </c>
      <c r="G1631" s="9">
        <v>1495.9143979999999</v>
      </c>
      <c r="H1631" s="66">
        <v>44129.474740999998</v>
      </c>
      <c r="I1631" s="9">
        <v>1797.1894577263599</v>
      </c>
      <c r="J1631" s="10">
        <v>1.2013985961557407</v>
      </c>
      <c r="K1631" s="66">
        <v>15911.929325964586</v>
      </c>
      <c r="L1631" s="69">
        <v>60041.404066964584</v>
      </c>
      <c r="M1631" s="64">
        <v>1246407.6788712689</v>
      </c>
      <c r="N1631" s="67">
        <v>24983.371533924827</v>
      </c>
      <c r="O1631" s="64">
        <f t="shared" si="50"/>
        <v>85024.775600889407</v>
      </c>
      <c r="P1631" s="64">
        <f t="shared" si="51"/>
        <v>56.837995352251042</v>
      </c>
    </row>
    <row r="1632" spans="1:16" ht="15">
      <c r="A1632" s="3" t="str">
        <f>"060426"</f>
        <v>060426</v>
      </c>
      <c r="B1632" s="3" t="s">
        <v>2619</v>
      </c>
      <c r="C1632" s="61" t="s">
        <v>3295</v>
      </c>
      <c r="D1632" s="3" t="s">
        <v>3249</v>
      </c>
      <c r="E1632" s="3">
        <v>1</v>
      </c>
      <c r="F1632" s="3" t="s">
        <v>3220</v>
      </c>
      <c r="G1632" s="9">
        <v>164</v>
      </c>
      <c r="H1632" s="66">
        <v>4838</v>
      </c>
      <c r="I1632" s="9">
        <v>173.81139999999999</v>
      </c>
      <c r="J1632" s="10">
        <v>1.0598256097560974</v>
      </c>
      <c r="K1632" s="66">
        <v>518.19192577894387</v>
      </c>
      <c r="L1632" s="69">
        <v>5356.1919257789441</v>
      </c>
      <c r="M1632" s="64">
        <v>0</v>
      </c>
      <c r="N1632" s="67">
        <v>0</v>
      </c>
      <c r="O1632" s="64">
        <f t="shared" si="50"/>
        <v>5356.1919257789441</v>
      </c>
      <c r="P1632" s="64">
        <f t="shared" si="51"/>
        <v>32.659706864505758</v>
      </c>
    </row>
    <row r="1633" spans="1:16" ht="15">
      <c r="A1633" s="3" t="str">
        <f>"062497"</f>
        <v>062497</v>
      </c>
      <c r="B1633" s="3" t="s">
        <v>2693</v>
      </c>
      <c r="C1633" s="61" t="s">
        <v>3295</v>
      </c>
      <c r="D1633" s="3" t="s">
        <v>3249</v>
      </c>
      <c r="E1633" s="3">
        <v>1</v>
      </c>
      <c r="F1633" s="3" t="s">
        <v>3220</v>
      </c>
      <c r="G1633" s="9">
        <v>129</v>
      </c>
      <c r="H1633" s="66">
        <v>3805.5</v>
      </c>
      <c r="I1633" s="9">
        <v>132.887</v>
      </c>
      <c r="J1633" s="10">
        <v>1.0301317829457364</v>
      </c>
      <c r="K1633" s="66">
        <v>205.29302805947739</v>
      </c>
      <c r="L1633" s="69">
        <v>4010.7930280594774</v>
      </c>
      <c r="M1633" s="64">
        <v>0</v>
      </c>
      <c r="N1633" s="67">
        <v>0</v>
      </c>
      <c r="O1633" s="64">
        <f t="shared" si="50"/>
        <v>4010.7930280594774</v>
      </c>
      <c r="P1633" s="64">
        <f t="shared" si="51"/>
        <v>31.091418822166492</v>
      </c>
    </row>
    <row r="1634" spans="1:16" ht="15">
      <c r="A1634" s="3" t="s">
        <v>1607</v>
      </c>
      <c r="B1634" s="3" t="s">
        <v>1065</v>
      </c>
      <c r="C1634" s="61" t="s">
        <v>3336</v>
      </c>
      <c r="D1634" s="3" t="s">
        <v>3248</v>
      </c>
      <c r="E1634" s="3">
        <v>1</v>
      </c>
      <c r="F1634" s="3" t="s">
        <v>3224</v>
      </c>
      <c r="G1634" s="9">
        <v>799.29616299999998</v>
      </c>
      <c r="H1634" s="66">
        <v>23579.236808499998</v>
      </c>
      <c r="I1634" s="9">
        <v>972.08083590520198</v>
      </c>
      <c r="J1634" s="10">
        <v>1.2161710275909356</v>
      </c>
      <c r="K1634" s="66">
        <v>9125.6724216555831</v>
      </c>
      <c r="L1634" s="69">
        <v>32704.909230155579</v>
      </c>
      <c r="M1634" s="64">
        <v>535379.08733351366</v>
      </c>
      <c r="N1634" s="67">
        <v>10731.299940689962</v>
      </c>
      <c r="O1634" s="64">
        <f t="shared" si="50"/>
        <v>43436.209170845541</v>
      </c>
      <c r="P1634" s="64">
        <f t="shared" si="51"/>
        <v>54.343072294775347</v>
      </c>
    </row>
    <row r="1635" spans="1:16" ht="15">
      <c r="A1635" s="3" t="s">
        <v>1608</v>
      </c>
      <c r="B1635" s="3" t="s">
        <v>1609</v>
      </c>
      <c r="C1635" s="61" t="s">
        <v>3336</v>
      </c>
      <c r="D1635" s="3" t="s">
        <v>3248</v>
      </c>
      <c r="E1635" s="3">
        <v>1</v>
      </c>
      <c r="F1635" s="3" t="s">
        <v>3224</v>
      </c>
      <c r="G1635" s="9">
        <v>863.14689499999997</v>
      </c>
      <c r="H1635" s="66">
        <v>25462.8334025</v>
      </c>
      <c r="I1635" s="9">
        <v>997.33680955678096</v>
      </c>
      <c r="J1635" s="10">
        <v>1.1554659065960968</v>
      </c>
      <c r="K1635" s="66">
        <v>7087.2791084137152</v>
      </c>
      <c r="L1635" s="69">
        <v>32550.112510913714</v>
      </c>
      <c r="M1635" s="64">
        <v>747862.39430567354</v>
      </c>
      <c r="N1635" s="67">
        <v>14990.379448006401</v>
      </c>
      <c r="O1635" s="64">
        <f t="shared" si="50"/>
        <v>47540.491958920116</v>
      </c>
      <c r="P1635" s="64">
        <f t="shared" si="51"/>
        <v>55.078101113855155</v>
      </c>
    </row>
    <row r="1636" spans="1:16" ht="15">
      <c r="A1636" s="3" t="str">
        <f>"059279"</f>
        <v>059279</v>
      </c>
      <c r="B1636" s="3" t="s">
        <v>2689</v>
      </c>
      <c r="C1636" s="61" t="s">
        <v>3336</v>
      </c>
      <c r="D1636" s="3" t="s">
        <v>3249</v>
      </c>
      <c r="E1636" s="3">
        <v>1</v>
      </c>
      <c r="F1636" s="3" t="s">
        <v>3220</v>
      </c>
      <c r="G1636" s="9">
        <v>86</v>
      </c>
      <c r="H1636" s="66">
        <v>2537</v>
      </c>
      <c r="I1636" s="9">
        <v>94.636600000000001</v>
      </c>
      <c r="J1636" s="10">
        <v>1.100425581395349</v>
      </c>
      <c r="K1636" s="66">
        <v>456.14452434743572</v>
      </c>
      <c r="L1636" s="69">
        <v>2993.1445243474359</v>
      </c>
      <c r="M1636" s="64">
        <v>0</v>
      </c>
      <c r="N1636" s="67">
        <v>0</v>
      </c>
      <c r="O1636" s="64">
        <f t="shared" si="50"/>
        <v>2993.1445243474359</v>
      </c>
      <c r="P1636" s="64">
        <f t="shared" si="51"/>
        <v>34.804006097063208</v>
      </c>
    </row>
    <row r="1637" spans="1:16" ht="15">
      <c r="A1637" s="3" t="s">
        <v>816</v>
      </c>
      <c r="B1637" s="3" t="s">
        <v>817</v>
      </c>
      <c r="C1637" s="61" t="s">
        <v>3336</v>
      </c>
      <c r="D1637" s="3" t="s">
        <v>3248</v>
      </c>
      <c r="E1637" s="3">
        <v>1</v>
      </c>
      <c r="F1637" s="3" t="s">
        <v>1905</v>
      </c>
      <c r="G1637" s="9">
        <v>2058.7786580000002</v>
      </c>
      <c r="H1637" s="66">
        <v>60733.970411000002</v>
      </c>
      <c r="I1637" s="9">
        <v>2530.7230083745599</v>
      </c>
      <c r="J1637" s="10">
        <v>1.2292351091462304</v>
      </c>
      <c r="K1637" s="66">
        <v>24925.877222525414</v>
      </c>
      <c r="L1637" s="69">
        <v>85659.847633525409</v>
      </c>
      <c r="M1637" s="64">
        <v>452750.79120660044</v>
      </c>
      <c r="N1637" s="67">
        <v>9075.0734456612481</v>
      </c>
      <c r="O1637" s="64">
        <f t="shared" si="50"/>
        <v>94734.921079186664</v>
      </c>
      <c r="P1637" s="64">
        <f t="shared" si="51"/>
        <v>46.015107408980462</v>
      </c>
    </row>
    <row r="1638" spans="1:16" ht="15">
      <c r="A1638" s="3" t="s">
        <v>519</v>
      </c>
      <c r="B1638" s="3" t="s">
        <v>520</v>
      </c>
      <c r="C1638" s="61" t="s">
        <v>3336</v>
      </c>
      <c r="D1638" s="3" t="s">
        <v>456</v>
      </c>
      <c r="E1638" s="3">
        <v>1</v>
      </c>
      <c r="F1638" s="3" t="s">
        <v>1897</v>
      </c>
      <c r="G1638" s="9">
        <v>478.23615699999999</v>
      </c>
      <c r="H1638" s="66">
        <v>14107.966631499999</v>
      </c>
      <c r="I1638" s="9">
        <v>636.34814618527298</v>
      </c>
      <c r="J1638" s="10">
        <v>1.3306148790110677</v>
      </c>
      <c r="K1638" s="66">
        <v>8350.7303916521814</v>
      </c>
      <c r="L1638" s="69">
        <v>22458.697023152181</v>
      </c>
      <c r="M1638" s="64">
        <v>0</v>
      </c>
      <c r="N1638" s="67">
        <v>0</v>
      </c>
      <c r="O1638" s="64">
        <f t="shared" si="50"/>
        <v>22458.697023152181</v>
      </c>
      <c r="P1638" s="64">
        <f t="shared" si="51"/>
        <v>46.961520358554111</v>
      </c>
    </row>
    <row r="1639" spans="1:16" ht="15">
      <c r="A1639" s="3" t="s">
        <v>1610</v>
      </c>
      <c r="B1639" s="3" t="s">
        <v>1611</v>
      </c>
      <c r="C1639" s="61" t="s">
        <v>3338</v>
      </c>
      <c r="D1639" s="3" t="s">
        <v>3248</v>
      </c>
      <c r="E1639" s="3">
        <v>1</v>
      </c>
      <c r="F1639" s="3" t="s">
        <v>3223</v>
      </c>
      <c r="G1639" s="9">
        <v>1956.8100730000001</v>
      </c>
      <c r="H1639" s="66">
        <v>57725.897153500002</v>
      </c>
      <c r="I1639" s="9">
        <v>2755.2790659341199</v>
      </c>
      <c r="J1639" s="10">
        <v>1.4080462401289568</v>
      </c>
      <c r="K1639" s="66">
        <v>42171.370561113166</v>
      </c>
      <c r="L1639" s="69">
        <v>99897.267714613175</v>
      </c>
      <c r="M1639" s="64">
        <v>3463480.647702327</v>
      </c>
      <c r="N1639" s="67">
        <v>69423.050971946679</v>
      </c>
      <c r="O1639" s="64">
        <f t="shared" si="50"/>
        <v>169320.31868655985</v>
      </c>
      <c r="P1639" s="64">
        <f t="shared" si="51"/>
        <v>86.528744420746776</v>
      </c>
    </row>
    <row r="1640" spans="1:16" ht="15">
      <c r="A1640" s="3" t="str">
        <f>"052977"</f>
        <v>052977</v>
      </c>
      <c r="B1640" s="3" t="s">
        <v>2883</v>
      </c>
      <c r="C1640" s="61" t="s">
        <v>3283</v>
      </c>
      <c r="D1640" s="3" t="s">
        <v>3249</v>
      </c>
      <c r="E1640" s="3">
        <v>1</v>
      </c>
      <c r="F1640" s="3" t="s">
        <v>3220</v>
      </c>
      <c r="G1640" s="9">
        <v>509</v>
      </c>
      <c r="H1640" s="66">
        <v>15015.5</v>
      </c>
      <c r="I1640" s="9">
        <v>529.6472</v>
      </c>
      <c r="J1640" s="10">
        <v>1.0405642436149312</v>
      </c>
      <c r="K1640" s="66">
        <v>1090.4878335347673</v>
      </c>
      <c r="L1640" s="69">
        <v>16105.987833534768</v>
      </c>
      <c r="M1640" s="64">
        <v>0</v>
      </c>
      <c r="N1640" s="67">
        <v>0</v>
      </c>
      <c r="O1640" s="64">
        <f t="shared" si="50"/>
        <v>16105.987833534768</v>
      </c>
      <c r="P1640" s="64">
        <f t="shared" si="51"/>
        <v>31.64241224663019</v>
      </c>
    </row>
    <row r="1641" spans="1:16" ht="15">
      <c r="A1641" s="3" t="s">
        <v>1612</v>
      </c>
      <c r="B1641" s="3" t="s">
        <v>1613</v>
      </c>
      <c r="C1641" s="61" t="s">
        <v>3283</v>
      </c>
      <c r="D1641" s="3" t="s">
        <v>3248</v>
      </c>
      <c r="E1641" s="3">
        <v>1</v>
      </c>
      <c r="F1641" s="3" t="s">
        <v>1905</v>
      </c>
      <c r="G1641" s="9">
        <v>1530.8728309999999</v>
      </c>
      <c r="H1641" s="66">
        <v>45160.748514499996</v>
      </c>
      <c r="I1641" s="9">
        <v>1763.39118993291</v>
      </c>
      <c r="J1641" s="10">
        <v>1.1518861359509687</v>
      </c>
      <c r="K1641" s="66">
        <v>12280.524307887201</v>
      </c>
      <c r="L1641" s="69">
        <v>57441.272822387196</v>
      </c>
      <c r="M1641" s="64">
        <v>863366.87506955443</v>
      </c>
      <c r="N1641" s="67">
        <v>17305.586106048137</v>
      </c>
      <c r="O1641" s="64">
        <f t="shared" si="50"/>
        <v>74746.858928435337</v>
      </c>
      <c r="P1641" s="64">
        <f t="shared" si="51"/>
        <v>48.826301842203989</v>
      </c>
    </row>
    <row r="1642" spans="1:16" ht="15">
      <c r="A1642" s="3" t="s">
        <v>639</v>
      </c>
      <c r="B1642" s="3" t="s">
        <v>640</v>
      </c>
      <c r="C1642" s="61" t="s">
        <v>3283</v>
      </c>
      <c r="D1642" s="3" t="s">
        <v>3248</v>
      </c>
      <c r="E1642" s="3">
        <v>1</v>
      </c>
      <c r="F1642" s="3" t="s">
        <v>1905</v>
      </c>
      <c r="G1642" s="9">
        <v>2751.343813</v>
      </c>
      <c r="H1642" s="66">
        <v>81164.642483499993</v>
      </c>
      <c r="I1642" s="9">
        <v>3481.3691935409802</v>
      </c>
      <c r="J1642" s="10">
        <v>1.2653341167656462</v>
      </c>
      <c r="K1642" s="66">
        <v>38556.501397357883</v>
      </c>
      <c r="L1642" s="69">
        <v>119721.14388085788</v>
      </c>
      <c r="M1642" s="64">
        <v>989696.29012418864</v>
      </c>
      <c r="N1642" s="67">
        <v>19837.771012700414</v>
      </c>
      <c r="O1642" s="64">
        <f t="shared" si="50"/>
        <v>139558.91489355831</v>
      </c>
      <c r="P1642" s="64">
        <f t="shared" si="51"/>
        <v>50.723909616147381</v>
      </c>
    </row>
    <row r="1643" spans="1:16" ht="15">
      <c r="A1643" s="3" t="s">
        <v>12</v>
      </c>
      <c r="B1643" s="61" t="s">
        <v>13</v>
      </c>
      <c r="C1643" s="61" t="s">
        <v>3283</v>
      </c>
      <c r="D1643" s="3" t="s">
        <v>1684</v>
      </c>
      <c r="E1643" s="3">
        <v>1</v>
      </c>
      <c r="F1643" s="3" t="s">
        <v>3267</v>
      </c>
      <c r="G1643" s="9">
        <v>403.81119799999999</v>
      </c>
      <c r="H1643" s="66">
        <v>2382.4860681999999</v>
      </c>
      <c r="I1643" s="9">
        <v>493.54612648635202</v>
      </c>
      <c r="J1643" s="10">
        <v>1.2222200100710234</v>
      </c>
      <c r="K1643" s="66">
        <v>0</v>
      </c>
      <c r="L1643" s="69">
        <v>2382.4860681999999</v>
      </c>
      <c r="M1643" s="64">
        <v>0</v>
      </c>
      <c r="N1643" s="67">
        <v>0</v>
      </c>
      <c r="O1643" s="64">
        <f t="shared" si="50"/>
        <v>2382.4860681999999</v>
      </c>
      <c r="P1643" s="64">
        <f t="shared" si="51"/>
        <v>5.8999999999999995</v>
      </c>
    </row>
    <row r="1644" spans="1:16" ht="15">
      <c r="A1644" s="3" t="s">
        <v>1616</v>
      </c>
      <c r="B1644" s="3" t="s">
        <v>1617</v>
      </c>
      <c r="C1644" s="61" t="s">
        <v>3283</v>
      </c>
      <c r="D1644" s="3" t="s">
        <v>3248</v>
      </c>
      <c r="E1644" s="3">
        <v>1</v>
      </c>
      <c r="F1644" s="3" t="s">
        <v>1906</v>
      </c>
      <c r="G1644" s="9">
        <v>4703.3530410000003</v>
      </c>
      <c r="H1644" s="66">
        <v>138748.91470950001</v>
      </c>
      <c r="I1644" s="9">
        <v>5505.2258250568902</v>
      </c>
      <c r="J1644" s="10">
        <v>1.1704896011561998</v>
      </c>
      <c r="K1644" s="66">
        <v>42351.142772709631</v>
      </c>
      <c r="L1644" s="69">
        <v>181100.05748220964</v>
      </c>
      <c r="M1644" s="64">
        <v>2558684.7595062</v>
      </c>
      <c r="N1644" s="67">
        <v>51287.049228406373</v>
      </c>
      <c r="O1644" s="64">
        <f t="shared" si="50"/>
        <v>232387.106710616</v>
      </c>
      <c r="P1644" s="64">
        <f t="shared" si="51"/>
        <v>49.40881636671849</v>
      </c>
    </row>
    <row r="1645" spans="1:16" ht="15">
      <c r="A1645" s="3" t="str">
        <f>"000601"</f>
        <v>000601</v>
      </c>
      <c r="B1645" s="3" t="s">
        <v>3209</v>
      </c>
      <c r="C1645" s="61" t="s">
        <v>3283</v>
      </c>
      <c r="D1645" s="3" t="s">
        <v>3249</v>
      </c>
      <c r="E1645" s="3">
        <v>1</v>
      </c>
      <c r="F1645" s="3" t="s">
        <v>3220</v>
      </c>
      <c r="G1645" s="9">
        <v>241</v>
      </c>
      <c r="H1645" s="66">
        <v>7109.5</v>
      </c>
      <c r="I1645" s="9">
        <v>241</v>
      </c>
      <c r="J1645" s="10">
        <v>1</v>
      </c>
      <c r="K1645" s="66">
        <v>0</v>
      </c>
      <c r="L1645" s="69">
        <v>7109.5</v>
      </c>
      <c r="M1645" s="64">
        <v>0</v>
      </c>
      <c r="N1645" s="67">
        <v>0</v>
      </c>
      <c r="O1645" s="64">
        <f t="shared" si="50"/>
        <v>7109.5</v>
      </c>
      <c r="P1645" s="64">
        <f t="shared" si="51"/>
        <v>29.5</v>
      </c>
    </row>
    <row r="1646" spans="1:16" ht="15">
      <c r="A1646" s="3" t="s">
        <v>673</v>
      </c>
      <c r="B1646" s="3" t="s">
        <v>674</v>
      </c>
      <c r="C1646" s="61" t="s">
        <v>3283</v>
      </c>
      <c r="D1646" s="3" t="s">
        <v>3248</v>
      </c>
      <c r="E1646" s="3">
        <v>1</v>
      </c>
      <c r="F1646" s="3" t="s">
        <v>1906</v>
      </c>
      <c r="G1646" s="9">
        <v>5288.6972329999999</v>
      </c>
      <c r="H1646" s="66">
        <v>156016.56837349999</v>
      </c>
      <c r="I1646" s="9">
        <v>6227.6887847636199</v>
      </c>
      <c r="J1646" s="10">
        <v>1.1775468532977411</v>
      </c>
      <c r="K1646" s="66">
        <v>49593.110106462831</v>
      </c>
      <c r="L1646" s="69">
        <v>205609.67847996281</v>
      </c>
      <c r="M1646" s="64">
        <v>4106429.9370614309</v>
      </c>
      <c r="N1646" s="67">
        <v>82310.520494019831</v>
      </c>
      <c r="O1646" s="64">
        <f t="shared" si="50"/>
        <v>287920.19897398265</v>
      </c>
      <c r="P1646" s="64">
        <f t="shared" si="51"/>
        <v>54.440665874658258</v>
      </c>
    </row>
    <row r="1647" spans="1:16" ht="15">
      <c r="A1647" s="3" t="str">
        <f>"115592"</f>
        <v>115592</v>
      </c>
      <c r="B1647" s="3" t="s">
        <v>3075</v>
      </c>
      <c r="C1647" s="61" t="s">
        <v>3283</v>
      </c>
      <c r="D1647" s="3" t="s">
        <v>3249</v>
      </c>
      <c r="E1647" s="3">
        <v>1</v>
      </c>
      <c r="F1647" s="3" t="s">
        <v>3220</v>
      </c>
      <c r="G1647" s="9">
        <v>15</v>
      </c>
      <c r="H1647" s="66">
        <v>442.5</v>
      </c>
      <c r="I1647" s="9">
        <v>15</v>
      </c>
      <c r="J1647" s="10">
        <v>1</v>
      </c>
      <c r="K1647" s="66">
        <v>0</v>
      </c>
      <c r="L1647" s="69">
        <v>442.5</v>
      </c>
      <c r="M1647" s="64">
        <v>0</v>
      </c>
      <c r="N1647" s="67">
        <v>0</v>
      </c>
      <c r="O1647" s="64">
        <f t="shared" si="50"/>
        <v>442.5</v>
      </c>
      <c r="P1647" s="64">
        <f t="shared" si="51"/>
        <v>29.5</v>
      </c>
    </row>
    <row r="1648" spans="1:16" ht="15">
      <c r="A1648" s="3" t="str">
        <f>"143099"</f>
        <v>143099</v>
      </c>
      <c r="B1648" s="3" t="s">
        <v>3035</v>
      </c>
      <c r="C1648" s="61" t="s">
        <v>3283</v>
      </c>
      <c r="D1648" s="3" t="s">
        <v>3249</v>
      </c>
      <c r="E1648" s="3">
        <v>1</v>
      </c>
      <c r="F1648" s="3" t="s">
        <v>3220</v>
      </c>
      <c r="G1648" s="9">
        <v>257</v>
      </c>
      <c r="H1648" s="66">
        <v>7581.5</v>
      </c>
      <c r="I1648" s="9">
        <v>257</v>
      </c>
      <c r="J1648" s="10">
        <v>1</v>
      </c>
      <c r="K1648" s="66">
        <v>0</v>
      </c>
      <c r="L1648" s="69">
        <v>7581.5</v>
      </c>
      <c r="M1648" s="64">
        <v>0</v>
      </c>
      <c r="N1648" s="67">
        <v>0</v>
      </c>
      <c r="O1648" s="64">
        <f t="shared" si="50"/>
        <v>7581.5</v>
      </c>
      <c r="P1648" s="64">
        <f t="shared" si="51"/>
        <v>29.5</v>
      </c>
    </row>
    <row r="1649" spans="1:16" ht="15">
      <c r="A1649" s="3" t="s">
        <v>1618</v>
      </c>
      <c r="B1649" s="3" t="s">
        <v>1619</v>
      </c>
      <c r="C1649" s="61" t="s">
        <v>3283</v>
      </c>
      <c r="D1649" s="3" t="s">
        <v>3248</v>
      </c>
      <c r="E1649" s="3">
        <v>1</v>
      </c>
      <c r="F1649" s="3" t="s">
        <v>1906</v>
      </c>
      <c r="G1649" s="9">
        <v>4606.3626469999999</v>
      </c>
      <c r="H1649" s="66">
        <v>135887.69808649999</v>
      </c>
      <c r="I1649" s="9">
        <v>5346.01869319873</v>
      </c>
      <c r="J1649" s="10">
        <v>1.160572691053851</v>
      </c>
      <c r="K1649" s="66">
        <v>39065.147786631846</v>
      </c>
      <c r="L1649" s="69">
        <v>174952.84587313182</v>
      </c>
      <c r="M1649" s="64">
        <v>5103648.8987506311</v>
      </c>
      <c r="N1649" s="67">
        <v>102299.07820502315</v>
      </c>
      <c r="O1649" s="64">
        <f t="shared" si="50"/>
        <v>277251.92407815496</v>
      </c>
      <c r="P1649" s="64">
        <f t="shared" si="51"/>
        <v>60.188905069973522</v>
      </c>
    </row>
    <row r="1650" spans="1:16" ht="15">
      <c r="A1650" s="3" t="s">
        <v>1620</v>
      </c>
      <c r="B1650" s="3" t="s">
        <v>1697</v>
      </c>
      <c r="C1650" s="61" t="s">
        <v>3283</v>
      </c>
      <c r="D1650" s="3" t="s">
        <v>3248</v>
      </c>
      <c r="E1650" s="3">
        <v>1</v>
      </c>
      <c r="F1650" s="3" t="s">
        <v>1907</v>
      </c>
      <c r="G1650" s="9">
        <v>10095.958796000001</v>
      </c>
      <c r="H1650" s="66">
        <v>297830.78448200005</v>
      </c>
      <c r="I1650" s="9">
        <v>11661.8387545428</v>
      </c>
      <c r="J1650" s="10">
        <v>1.1550996780180203</v>
      </c>
      <c r="K1650" s="66">
        <v>82702.402435528682</v>
      </c>
      <c r="L1650" s="69">
        <v>380533.18691752874</v>
      </c>
      <c r="M1650" s="64">
        <v>7680460.0835704673</v>
      </c>
      <c r="N1650" s="67">
        <v>153949.45897083037</v>
      </c>
      <c r="O1650" s="64">
        <f t="shared" si="50"/>
        <v>534482.64588835905</v>
      </c>
      <c r="P1650" s="64">
        <f t="shared" si="51"/>
        <v>52.940256263735947</v>
      </c>
    </row>
    <row r="1651" spans="1:16" ht="15">
      <c r="A1651" s="3" t="str">
        <f>"084202"</f>
        <v>084202</v>
      </c>
      <c r="B1651" s="3" t="s">
        <v>3109</v>
      </c>
      <c r="C1651" s="61" t="s">
        <v>3283</v>
      </c>
      <c r="D1651" s="3" t="s">
        <v>3249</v>
      </c>
      <c r="E1651" s="3">
        <v>1</v>
      </c>
      <c r="F1651" s="3" t="s">
        <v>3220</v>
      </c>
      <c r="G1651" s="9">
        <v>420</v>
      </c>
      <c r="H1651" s="66">
        <v>12390</v>
      </c>
      <c r="I1651" s="9">
        <v>420</v>
      </c>
      <c r="J1651" s="10">
        <v>1</v>
      </c>
      <c r="K1651" s="66">
        <v>0</v>
      </c>
      <c r="L1651" s="69">
        <v>12390</v>
      </c>
      <c r="M1651" s="64">
        <v>0</v>
      </c>
      <c r="N1651" s="67">
        <v>0</v>
      </c>
      <c r="O1651" s="64">
        <f t="shared" si="50"/>
        <v>12390</v>
      </c>
      <c r="P1651" s="64">
        <f t="shared" si="51"/>
        <v>29.5</v>
      </c>
    </row>
    <row r="1652" spans="1:16" ht="15">
      <c r="A1652" s="3" t="str">
        <f>"132282"</f>
        <v>132282</v>
      </c>
      <c r="B1652" s="3" t="s">
        <v>2750</v>
      </c>
      <c r="C1652" s="61" t="s">
        <v>3283</v>
      </c>
      <c r="D1652" s="3" t="s">
        <v>3249</v>
      </c>
      <c r="E1652" s="3">
        <v>1</v>
      </c>
      <c r="F1652" s="3" t="s">
        <v>3220</v>
      </c>
      <c r="G1652" s="9">
        <v>148</v>
      </c>
      <c r="H1652" s="66">
        <v>4366</v>
      </c>
      <c r="I1652" s="9">
        <v>156.1114</v>
      </c>
      <c r="J1652" s="10">
        <v>1.0548067567567567</v>
      </c>
      <c r="K1652" s="66">
        <v>428.40593460294451</v>
      </c>
      <c r="L1652" s="69">
        <v>4794.4059346029444</v>
      </c>
      <c r="M1652" s="64">
        <v>0</v>
      </c>
      <c r="N1652" s="67">
        <v>0</v>
      </c>
      <c r="O1652" s="64">
        <f t="shared" si="50"/>
        <v>4794.4059346029444</v>
      </c>
      <c r="P1652" s="64">
        <f t="shared" si="51"/>
        <v>32.394634693263136</v>
      </c>
    </row>
    <row r="1653" spans="1:16" ht="15">
      <c r="A1653" s="3" t="str">
        <f>"132647"</f>
        <v>132647</v>
      </c>
      <c r="B1653" s="3" t="s">
        <v>2749</v>
      </c>
      <c r="C1653" s="61" t="s">
        <v>3283</v>
      </c>
      <c r="D1653" s="3" t="s">
        <v>3249</v>
      </c>
      <c r="E1653" s="3">
        <v>1</v>
      </c>
      <c r="F1653" s="3" t="s">
        <v>3220</v>
      </c>
      <c r="G1653" s="9">
        <v>136</v>
      </c>
      <c r="H1653" s="66">
        <v>4012</v>
      </c>
      <c r="I1653" s="9">
        <v>143.374</v>
      </c>
      <c r="J1653" s="10">
        <v>1.0542205882352942</v>
      </c>
      <c r="K1653" s="66">
        <v>389.45994054813093</v>
      </c>
      <c r="L1653" s="69">
        <v>4401.4599405481313</v>
      </c>
      <c r="M1653" s="64">
        <v>0</v>
      </c>
      <c r="N1653" s="67">
        <v>0</v>
      </c>
      <c r="O1653" s="64">
        <f t="shared" si="50"/>
        <v>4401.4599405481313</v>
      </c>
      <c r="P1653" s="64">
        <f t="shared" si="51"/>
        <v>32.36367603344214</v>
      </c>
    </row>
    <row r="1654" spans="1:16" ht="15">
      <c r="A1654" s="3" t="s">
        <v>1614</v>
      </c>
      <c r="B1654" s="3" t="s">
        <v>1615</v>
      </c>
      <c r="C1654" s="61" t="s">
        <v>3283</v>
      </c>
      <c r="D1654" s="3" t="s">
        <v>3248</v>
      </c>
      <c r="E1654" s="3">
        <v>1</v>
      </c>
      <c r="F1654" s="3" t="s">
        <v>1907</v>
      </c>
      <c r="G1654" s="9">
        <v>5832.4093940000002</v>
      </c>
      <c r="H1654" s="66">
        <v>172056.077123</v>
      </c>
      <c r="I1654" s="9">
        <v>6610.5626707105203</v>
      </c>
      <c r="J1654" s="10">
        <v>1.1334188367351292</v>
      </c>
      <c r="K1654" s="66">
        <v>41098.390139003612</v>
      </c>
      <c r="L1654" s="69">
        <v>213154.4672620036</v>
      </c>
      <c r="M1654" s="64">
        <v>4173420.8177963314</v>
      </c>
      <c r="N1654" s="67">
        <v>83653.30591740596</v>
      </c>
      <c r="O1654" s="64">
        <f t="shared" si="50"/>
        <v>296807.77317940956</v>
      </c>
      <c r="P1654" s="64">
        <f t="shared" si="51"/>
        <v>50.889392895626621</v>
      </c>
    </row>
    <row r="1655" spans="1:16" ht="15">
      <c r="A1655" s="3" t="str">
        <f>"055004"</f>
        <v>055004</v>
      </c>
      <c r="B1655" s="3" t="s">
        <v>2726</v>
      </c>
      <c r="C1655" s="61" t="s">
        <v>3283</v>
      </c>
      <c r="D1655" s="3" t="s">
        <v>3249</v>
      </c>
      <c r="E1655" s="3">
        <v>1</v>
      </c>
      <c r="F1655" s="3" t="s">
        <v>3220</v>
      </c>
      <c r="G1655" s="9">
        <v>155</v>
      </c>
      <c r="H1655" s="66">
        <v>4572.5</v>
      </c>
      <c r="I1655" s="9">
        <v>161.39920000000001</v>
      </c>
      <c r="J1655" s="10">
        <v>1.0412851612903227</v>
      </c>
      <c r="K1655" s="66">
        <v>337.97559690203474</v>
      </c>
      <c r="L1655" s="69">
        <v>4910.4755969020343</v>
      </c>
      <c r="M1655" s="64">
        <v>0</v>
      </c>
      <c r="N1655" s="67">
        <v>0</v>
      </c>
      <c r="O1655" s="64">
        <f t="shared" si="50"/>
        <v>4910.4755969020343</v>
      </c>
      <c r="P1655" s="64">
        <f t="shared" si="51"/>
        <v>31.680487721948609</v>
      </c>
    </row>
    <row r="1656" spans="1:16" ht="15">
      <c r="A1656" s="3" t="str">
        <f>"096297"</f>
        <v>096297</v>
      </c>
      <c r="B1656" s="3" t="s">
        <v>2898</v>
      </c>
      <c r="C1656" s="61" t="s">
        <v>3283</v>
      </c>
      <c r="D1656" s="3" t="s">
        <v>3249</v>
      </c>
      <c r="E1656" s="3">
        <v>1</v>
      </c>
      <c r="F1656" s="3" t="s">
        <v>3220</v>
      </c>
      <c r="G1656" s="9">
        <v>543</v>
      </c>
      <c r="H1656" s="66">
        <v>16018.5</v>
      </c>
      <c r="I1656" s="9">
        <v>567.83420000000001</v>
      </c>
      <c r="J1656" s="10">
        <v>1.0457351749539594</v>
      </c>
      <c r="K1656" s="66">
        <v>1311.625448272363</v>
      </c>
      <c r="L1656" s="69">
        <v>17330.125448272363</v>
      </c>
      <c r="M1656" s="64">
        <v>0</v>
      </c>
      <c r="N1656" s="67">
        <v>0</v>
      </c>
      <c r="O1656" s="64">
        <f t="shared" si="50"/>
        <v>17330.125448272363</v>
      </c>
      <c r="P1656" s="64">
        <f t="shared" si="51"/>
        <v>31.915516479322953</v>
      </c>
    </row>
    <row r="1657" spans="1:16" ht="15">
      <c r="A1657" s="3" t="str">
        <f>"055566"</f>
        <v>055566</v>
      </c>
      <c r="B1657" s="3" t="s">
        <v>2885</v>
      </c>
      <c r="C1657" s="61" t="s">
        <v>3283</v>
      </c>
      <c r="D1657" s="3" t="s">
        <v>3249</v>
      </c>
      <c r="E1657" s="3">
        <v>1</v>
      </c>
      <c r="F1657" s="3" t="s">
        <v>3220</v>
      </c>
      <c r="G1657" s="9">
        <v>673</v>
      </c>
      <c r="H1657" s="66">
        <v>19853.5</v>
      </c>
      <c r="I1657" s="9">
        <v>694.54719999999998</v>
      </c>
      <c r="J1657" s="10">
        <v>1.0320166419019317</v>
      </c>
      <c r="K1657" s="66">
        <v>1138.021593569119</v>
      </c>
      <c r="L1657" s="69">
        <v>20991.521593569119</v>
      </c>
      <c r="M1657" s="64">
        <v>0</v>
      </c>
      <c r="N1657" s="67">
        <v>0</v>
      </c>
      <c r="O1657" s="64">
        <f t="shared" si="50"/>
        <v>20991.521593569119</v>
      </c>
      <c r="P1657" s="64">
        <f t="shared" si="51"/>
        <v>31.190968192524693</v>
      </c>
    </row>
    <row r="1658" spans="1:16" ht="15">
      <c r="A1658" s="3" t="str">
        <f>"133090"</f>
        <v>133090</v>
      </c>
      <c r="B1658" s="3" t="s">
        <v>2563</v>
      </c>
      <c r="C1658" s="61" t="s">
        <v>3283</v>
      </c>
      <c r="D1658" s="3" t="s">
        <v>3249</v>
      </c>
      <c r="E1658" s="3">
        <v>1</v>
      </c>
      <c r="F1658" s="3" t="s">
        <v>3220</v>
      </c>
      <c r="G1658" s="9">
        <v>11</v>
      </c>
      <c r="H1658" s="66">
        <v>324.5</v>
      </c>
      <c r="I1658" s="9">
        <v>11</v>
      </c>
      <c r="J1658" s="10">
        <v>1</v>
      </c>
      <c r="K1658" s="66">
        <v>0</v>
      </c>
      <c r="L1658" s="69">
        <v>324.5</v>
      </c>
      <c r="M1658" s="64">
        <v>0</v>
      </c>
      <c r="N1658" s="67">
        <v>0</v>
      </c>
      <c r="O1658" s="64">
        <f t="shared" si="50"/>
        <v>324.5</v>
      </c>
      <c r="P1658" s="64">
        <f t="shared" si="51"/>
        <v>29.5</v>
      </c>
    </row>
    <row r="1659" spans="1:16" ht="15">
      <c r="A1659" s="3" t="str">
        <f>"008096"</f>
        <v>008096</v>
      </c>
      <c r="B1659" s="3" t="s">
        <v>2829</v>
      </c>
      <c r="C1659" s="61" t="s">
        <v>3283</v>
      </c>
      <c r="D1659" s="3" t="s">
        <v>3249</v>
      </c>
      <c r="E1659" s="3">
        <v>1</v>
      </c>
      <c r="F1659" s="3" t="s">
        <v>3220</v>
      </c>
      <c r="G1659" s="9">
        <v>187</v>
      </c>
      <c r="H1659" s="66">
        <v>5516.5</v>
      </c>
      <c r="I1659" s="9">
        <v>199.53579999999999</v>
      </c>
      <c r="J1659" s="10">
        <v>1.0670363636363636</v>
      </c>
      <c r="K1659" s="66">
        <v>662.08189893182282</v>
      </c>
      <c r="L1659" s="69">
        <v>6178.5818989318232</v>
      </c>
      <c r="M1659" s="64">
        <v>0</v>
      </c>
      <c r="N1659" s="67">
        <v>0</v>
      </c>
      <c r="O1659" s="64">
        <f t="shared" si="50"/>
        <v>6178.5818989318232</v>
      </c>
      <c r="P1659" s="64">
        <f t="shared" si="51"/>
        <v>33.040544914073919</v>
      </c>
    </row>
    <row r="1660" spans="1:16" ht="15">
      <c r="A1660" s="3" t="str">
        <f>"009124"</f>
        <v>009124</v>
      </c>
      <c r="B1660" s="3" t="s">
        <v>3204</v>
      </c>
      <c r="C1660" s="61" t="s">
        <v>3283</v>
      </c>
      <c r="D1660" s="3" t="s">
        <v>3249</v>
      </c>
      <c r="E1660" s="3">
        <v>1</v>
      </c>
      <c r="F1660" s="3" t="s">
        <v>3220</v>
      </c>
      <c r="G1660" s="9">
        <v>25</v>
      </c>
      <c r="H1660" s="66">
        <v>737.5</v>
      </c>
      <c r="I1660" s="9">
        <v>25</v>
      </c>
      <c r="J1660" s="10">
        <v>1</v>
      </c>
      <c r="K1660" s="66">
        <v>0</v>
      </c>
      <c r="L1660" s="69">
        <v>737.5</v>
      </c>
      <c r="M1660" s="64">
        <v>0</v>
      </c>
      <c r="N1660" s="67">
        <v>0</v>
      </c>
      <c r="O1660" s="64">
        <f t="shared" si="50"/>
        <v>737.5</v>
      </c>
      <c r="P1660" s="64">
        <f t="shared" si="51"/>
        <v>29.5</v>
      </c>
    </row>
    <row r="1661" spans="1:16" ht="15">
      <c r="A1661" s="3" t="str">
        <f>"121277"</f>
        <v>121277</v>
      </c>
      <c r="B1661" s="3" t="s">
        <v>3063</v>
      </c>
      <c r="C1661" s="61" t="s">
        <v>3283</v>
      </c>
      <c r="D1661" s="3" t="s">
        <v>3249</v>
      </c>
      <c r="E1661" s="3">
        <v>1</v>
      </c>
      <c r="F1661" s="3" t="s">
        <v>3220</v>
      </c>
      <c r="G1661" s="9">
        <v>24</v>
      </c>
      <c r="H1661" s="66">
        <v>708</v>
      </c>
      <c r="I1661" s="9">
        <v>24</v>
      </c>
      <c r="J1661" s="10">
        <v>1</v>
      </c>
      <c r="K1661" s="66">
        <v>0</v>
      </c>
      <c r="L1661" s="69">
        <v>708</v>
      </c>
      <c r="M1661" s="64">
        <v>0</v>
      </c>
      <c r="N1661" s="67">
        <v>0</v>
      </c>
      <c r="O1661" s="64">
        <f t="shared" si="50"/>
        <v>708</v>
      </c>
      <c r="P1661" s="64">
        <f t="shared" si="51"/>
        <v>29.5</v>
      </c>
    </row>
    <row r="1662" spans="1:16" ht="15">
      <c r="A1662" s="3" t="s">
        <v>507</v>
      </c>
      <c r="B1662" s="3" t="s">
        <v>508</v>
      </c>
      <c r="C1662" s="61" t="s">
        <v>3283</v>
      </c>
      <c r="D1662" s="3" t="s">
        <v>456</v>
      </c>
      <c r="E1662" s="3">
        <v>1</v>
      </c>
      <c r="F1662" s="3" t="s">
        <v>1897</v>
      </c>
      <c r="G1662" s="9">
        <v>1097.838305</v>
      </c>
      <c r="H1662" s="66">
        <v>32386.229997499999</v>
      </c>
      <c r="I1662" s="9">
        <v>1392.2259099627099</v>
      </c>
      <c r="J1662" s="10">
        <v>1.2681520617580473</v>
      </c>
      <c r="K1662" s="66">
        <v>15548.16641265036</v>
      </c>
      <c r="L1662" s="69">
        <v>47934.396410150359</v>
      </c>
      <c r="M1662" s="64">
        <v>0</v>
      </c>
      <c r="N1662" s="67">
        <v>0</v>
      </c>
      <c r="O1662" s="64">
        <f t="shared" si="50"/>
        <v>47934.396410150359</v>
      </c>
      <c r="P1662" s="64">
        <f t="shared" si="51"/>
        <v>43.66252861813777</v>
      </c>
    </row>
    <row r="1663" spans="1:16" ht="15">
      <c r="A1663" s="3" t="s">
        <v>1621</v>
      </c>
      <c r="B1663" s="3" t="s">
        <v>1622</v>
      </c>
      <c r="C1663" s="61" t="s">
        <v>3283</v>
      </c>
      <c r="D1663" s="3" t="s">
        <v>3248</v>
      </c>
      <c r="E1663" s="3">
        <v>1</v>
      </c>
      <c r="F1663" s="3" t="s">
        <v>1904</v>
      </c>
      <c r="G1663" s="9">
        <v>1388.946561</v>
      </c>
      <c r="H1663" s="66">
        <v>40973.923549499996</v>
      </c>
      <c r="I1663" s="9">
        <v>1530.55637728441</v>
      </c>
      <c r="J1663" s="10">
        <v>1.101954834160398</v>
      </c>
      <c r="K1663" s="66">
        <v>7479.1633619688255</v>
      </c>
      <c r="L1663" s="69">
        <v>48453.086911468825</v>
      </c>
      <c r="M1663" s="64">
        <v>795816.1907539526</v>
      </c>
      <c r="N1663" s="67">
        <v>15951.579810807838</v>
      </c>
      <c r="O1663" s="64">
        <f t="shared" si="50"/>
        <v>64404.666722276663</v>
      </c>
      <c r="P1663" s="64">
        <f t="shared" si="51"/>
        <v>46.369434599346448</v>
      </c>
    </row>
    <row r="1664" spans="1:16" ht="15">
      <c r="A1664" s="3" t="s">
        <v>568</v>
      </c>
      <c r="B1664" s="3" t="s">
        <v>569</v>
      </c>
      <c r="C1664" s="61" t="s">
        <v>3324</v>
      </c>
      <c r="D1664" s="3" t="s">
        <v>3248</v>
      </c>
      <c r="E1664" s="3">
        <v>1</v>
      </c>
      <c r="F1664" s="3" t="s">
        <v>1905</v>
      </c>
      <c r="G1664" s="9">
        <v>963.93022199999996</v>
      </c>
      <c r="H1664" s="66">
        <v>28435.941548999999</v>
      </c>
      <c r="I1664" s="9">
        <v>1188.36983962371</v>
      </c>
      <c r="J1664" s="10">
        <v>1.2328380338133127</v>
      </c>
      <c r="K1664" s="66">
        <v>11853.843251474835</v>
      </c>
      <c r="L1664" s="69">
        <v>40289.784800474838</v>
      </c>
      <c r="M1664" s="64">
        <v>437278.45111038245</v>
      </c>
      <c r="N1664" s="67">
        <v>8764.9411930477909</v>
      </c>
      <c r="O1664" s="64">
        <f t="shared" si="50"/>
        <v>49054.725993522632</v>
      </c>
      <c r="P1664" s="64">
        <f t="shared" si="51"/>
        <v>50.890328857769369</v>
      </c>
    </row>
    <row r="1665" spans="1:16" ht="15">
      <c r="A1665" s="3" t="s">
        <v>1623</v>
      </c>
      <c r="B1665" s="3" t="s">
        <v>1624</v>
      </c>
      <c r="C1665" s="61" t="s">
        <v>3324</v>
      </c>
      <c r="D1665" s="3" t="s">
        <v>3248</v>
      </c>
      <c r="E1665" s="3">
        <v>1</v>
      </c>
      <c r="F1665" s="3" t="s">
        <v>3223</v>
      </c>
      <c r="G1665" s="9">
        <v>965.25508600000001</v>
      </c>
      <c r="H1665" s="66">
        <v>28475.025036999999</v>
      </c>
      <c r="I1665" s="9">
        <v>1176.55649877768</v>
      </c>
      <c r="J1665" s="10">
        <v>1.2189073291012733</v>
      </c>
      <c r="K1665" s="66">
        <v>11159.94516654887</v>
      </c>
      <c r="L1665" s="69">
        <v>39634.970203548874</v>
      </c>
      <c r="M1665" s="64">
        <v>1351959.4937320133</v>
      </c>
      <c r="N1665" s="67">
        <v>27099.083954065001</v>
      </c>
      <c r="O1665" s="64">
        <f t="shared" si="50"/>
        <v>66734.054157613878</v>
      </c>
      <c r="P1665" s="64">
        <f t="shared" si="51"/>
        <v>69.136184958277312</v>
      </c>
    </row>
    <row r="1666" spans="1:16" ht="15">
      <c r="A1666" s="3" t="s">
        <v>1625</v>
      </c>
      <c r="B1666" s="3" t="s">
        <v>1626</v>
      </c>
      <c r="C1666" s="61" t="s">
        <v>3324</v>
      </c>
      <c r="D1666" s="3" t="s">
        <v>3248</v>
      </c>
      <c r="E1666" s="3">
        <v>1</v>
      </c>
      <c r="F1666" s="3" t="s">
        <v>3224</v>
      </c>
      <c r="G1666" s="9">
        <v>581.527241</v>
      </c>
      <c r="H1666" s="66">
        <v>17155.053609499999</v>
      </c>
      <c r="I1666" s="9">
        <v>686.48188196137596</v>
      </c>
      <c r="J1666" s="10">
        <v>1.1804810395139786</v>
      </c>
      <c r="K1666" s="66">
        <v>5543.2096866107859</v>
      </c>
      <c r="L1666" s="69">
        <v>22698.263296110785</v>
      </c>
      <c r="M1666" s="64">
        <v>1006451.002867157</v>
      </c>
      <c r="N1666" s="67">
        <v>20173.607529513942</v>
      </c>
      <c r="O1666" s="64">
        <f t="shared" si="50"/>
        <v>42871.870825624726</v>
      </c>
      <c r="P1666" s="64">
        <f t="shared" si="51"/>
        <v>73.72289344846827</v>
      </c>
    </row>
    <row r="1667" spans="1:16" ht="15">
      <c r="A1667" s="3" t="s">
        <v>695</v>
      </c>
      <c r="B1667" s="3" t="s">
        <v>696</v>
      </c>
      <c r="C1667" s="61" t="s">
        <v>3324</v>
      </c>
      <c r="D1667" s="3" t="s">
        <v>3248</v>
      </c>
      <c r="E1667" s="3">
        <v>1</v>
      </c>
      <c r="F1667" s="3" t="s">
        <v>1904</v>
      </c>
      <c r="G1667" s="9">
        <v>2508.3153910000001</v>
      </c>
      <c r="H1667" s="66">
        <v>73995.304034500004</v>
      </c>
      <c r="I1667" s="9">
        <v>3059.6248865450302</v>
      </c>
      <c r="J1667" s="10">
        <v>1.2197927332117662</v>
      </c>
      <c r="K1667" s="66">
        <v>29117.570295441776</v>
      </c>
      <c r="L1667" s="69">
        <v>103112.87432994178</v>
      </c>
      <c r="M1667" s="64">
        <v>1347155.2547561033</v>
      </c>
      <c r="N1667" s="67">
        <v>27002.786338679947</v>
      </c>
      <c r="O1667" s="64">
        <f t="shared" ref="O1667:O1729" si="52">(N1667+L1667)</f>
        <v>130115.66066862173</v>
      </c>
      <c r="P1667" s="64">
        <f t="shared" ref="P1667:P1729" si="53">O1667/G1667</f>
        <v>51.873724147882378</v>
      </c>
    </row>
    <row r="1668" spans="1:16" ht="15">
      <c r="A1668" s="3" t="str">
        <f>"017510"</f>
        <v>017510</v>
      </c>
      <c r="B1668" s="3" t="s">
        <v>2652</v>
      </c>
      <c r="C1668" s="61" t="s">
        <v>3324</v>
      </c>
      <c r="D1668" s="3" t="s">
        <v>3249</v>
      </c>
      <c r="E1668" s="3">
        <v>1</v>
      </c>
      <c r="F1668" s="3" t="s">
        <v>3220</v>
      </c>
      <c r="G1668" s="9">
        <v>64</v>
      </c>
      <c r="H1668" s="66">
        <v>1888</v>
      </c>
      <c r="I1668" s="9">
        <v>65.537399999999991</v>
      </c>
      <c r="J1668" s="10">
        <v>1.0240218749999999</v>
      </c>
      <c r="K1668" s="66">
        <v>81.198225196459646</v>
      </c>
      <c r="L1668" s="69">
        <v>1969.1982251964596</v>
      </c>
      <c r="M1668" s="64">
        <v>0</v>
      </c>
      <c r="N1668" s="67">
        <v>0</v>
      </c>
      <c r="O1668" s="64">
        <f t="shared" si="52"/>
        <v>1969.1982251964596</v>
      </c>
      <c r="P1668" s="64">
        <f t="shared" si="53"/>
        <v>30.768722268694681</v>
      </c>
    </row>
    <row r="1669" spans="1:16" ht="15">
      <c r="A1669" s="3" t="str">
        <f>"058339"</f>
        <v>058339</v>
      </c>
      <c r="B1669" s="3" t="s">
        <v>2660</v>
      </c>
      <c r="C1669" s="61" t="s">
        <v>3324</v>
      </c>
      <c r="D1669" s="3" t="s">
        <v>3249</v>
      </c>
      <c r="E1669" s="3">
        <v>1</v>
      </c>
      <c r="F1669" s="3" t="s">
        <v>3220</v>
      </c>
      <c r="G1669" s="9">
        <v>88</v>
      </c>
      <c r="H1669" s="66">
        <v>2596</v>
      </c>
      <c r="I1669" s="9">
        <v>93.724400000000003</v>
      </c>
      <c r="J1669" s="10">
        <v>1.0650500000000001</v>
      </c>
      <c r="K1669" s="66">
        <v>302.33583993405523</v>
      </c>
      <c r="L1669" s="69">
        <v>2898.335839934055</v>
      </c>
      <c r="M1669" s="64">
        <v>0</v>
      </c>
      <c r="N1669" s="67">
        <v>0</v>
      </c>
      <c r="O1669" s="64">
        <f t="shared" si="52"/>
        <v>2898.335839934055</v>
      </c>
      <c r="P1669" s="64">
        <f t="shared" si="53"/>
        <v>32.935634544705174</v>
      </c>
    </row>
    <row r="1670" spans="1:16" ht="15">
      <c r="A1670" s="3" t="str">
        <f>"058388"</f>
        <v>058388</v>
      </c>
      <c r="B1670" s="3" t="s">
        <v>2689</v>
      </c>
      <c r="C1670" s="61" t="s">
        <v>3324</v>
      </c>
      <c r="D1670" s="3" t="s">
        <v>3249</v>
      </c>
      <c r="E1670" s="3">
        <v>1</v>
      </c>
      <c r="F1670" s="3" t="s">
        <v>3220</v>
      </c>
      <c r="G1670" s="9">
        <v>133</v>
      </c>
      <c r="H1670" s="66">
        <v>3923.5</v>
      </c>
      <c r="I1670" s="9">
        <v>142.94880000000001</v>
      </c>
      <c r="J1670" s="10">
        <v>1.0748030075187971</v>
      </c>
      <c r="K1670" s="66">
        <v>525.44874647752238</v>
      </c>
      <c r="L1670" s="69">
        <v>4448.948746477522</v>
      </c>
      <c r="M1670" s="64">
        <v>0</v>
      </c>
      <c r="N1670" s="67">
        <v>0</v>
      </c>
      <c r="O1670" s="64">
        <f t="shared" si="52"/>
        <v>4448.948746477522</v>
      </c>
      <c r="P1670" s="64">
        <f t="shared" si="53"/>
        <v>33.45074245471821</v>
      </c>
    </row>
    <row r="1671" spans="1:16" ht="15">
      <c r="A1671" s="3" t="s">
        <v>1627</v>
      </c>
      <c r="B1671" s="3" t="s">
        <v>1628</v>
      </c>
      <c r="C1671" s="61" t="s">
        <v>3324</v>
      </c>
      <c r="D1671" s="3" t="s">
        <v>3248</v>
      </c>
      <c r="E1671" s="3">
        <v>1</v>
      </c>
      <c r="F1671" s="3" t="s">
        <v>3223</v>
      </c>
      <c r="G1671" s="9">
        <v>2012.113711</v>
      </c>
      <c r="H1671" s="66">
        <v>59357.354474499996</v>
      </c>
      <c r="I1671" s="9">
        <v>2336.2140634412699</v>
      </c>
      <c r="J1671" s="10">
        <v>1.1610745708204511</v>
      </c>
      <c r="K1671" s="66">
        <v>17117.453755547242</v>
      </c>
      <c r="L1671" s="69">
        <v>76474.808230047231</v>
      </c>
      <c r="M1671" s="64">
        <v>3503307.1169966725</v>
      </c>
      <c r="N1671" s="67">
        <v>70221.344737407228</v>
      </c>
      <c r="O1671" s="64">
        <f t="shared" si="52"/>
        <v>146696.15296745446</v>
      </c>
      <c r="P1671" s="64">
        <f t="shared" si="53"/>
        <v>72.906492394283205</v>
      </c>
    </row>
    <row r="1672" spans="1:16" ht="15">
      <c r="A1672" s="19">
        <v>66274</v>
      </c>
      <c r="B1672" s="20" t="s">
        <v>1933</v>
      </c>
      <c r="C1672" s="61" t="s">
        <v>3324</v>
      </c>
      <c r="D1672" s="19" t="s">
        <v>1973</v>
      </c>
      <c r="E1672" s="19">
        <v>1</v>
      </c>
      <c r="F1672" s="19" t="s">
        <v>1974</v>
      </c>
      <c r="G1672" s="9">
        <v>40.900000000000006</v>
      </c>
      <c r="H1672" s="66">
        <v>1206.5500000000002</v>
      </c>
      <c r="I1672" s="9">
        <v>189.80258000000003</v>
      </c>
      <c r="J1672" s="10">
        <v>4.6406498777506116</v>
      </c>
      <c r="K1672" s="66">
        <v>7864.3327846844813</v>
      </c>
      <c r="L1672" s="69">
        <v>9070.8827846844815</v>
      </c>
      <c r="M1672" s="64">
        <v>0</v>
      </c>
      <c r="N1672" s="67">
        <v>0</v>
      </c>
      <c r="O1672" s="64">
        <f t="shared" si="52"/>
        <v>9070.8827846844815</v>
      </c>
      <c r="P1672" s="64">
        <f t="shared" si="53"/>
        <v>221.78197517565965</v>
      </c>
    </row>
    <row r="1673" spans="1:16" ht="15">
      <c r="A1673" s="3" t="s">
        <v>521</v>
      </c>
      <c r="B1673" s="3" t="s">
        <v>522</v>
      </c>
      <c r="C1673" s="61" t="s">
        <v>3324</v>
      </c>
      <c r="D1673" s="3" t="s">
        <v>456</v>
      </c>
      <c r="E1673" s="3">
        <v>1</v>
      </c>
      <c r="F1673" s="3" t="s">
        <v>1897</v>
      </c>
      <c r="G1673" s="9">
        <v>447.91798699999998</v>
      </c>
      <c r="H1673" s="66">
        <v>13213.580616499999</v>
      </c>
      <c r="I1673" s="9">
        <v>566.72320463164203</v>
      </c>
      <c r="J1673" s="10">
        <v>1.2652387737928508</v>
      </c>
      <c r="K1673" s="66">
        <v>6274.7318952572687</v>
      </c>
      <c r="L1673" s="69">
        <v>19488.312511757267</v>
      </c>
      <c r="M1673" s="64">
        <v>0</v>
      </c>
      <c r="N1673" s="67">
        <v>0</v>
      </c>
      <c r="O1673" s="64">
        <f t="shared" si="52"/>
        <v>19488.312511757267</v>
      </c>
      <c r="P1673" s="64">
        <f t="shared" si="53"/>
        <v>43.508662472528187</v>
      </c>
    </row>
    <row r="1674" spans="1:16" ht="15">
      <c r="A1674" s="3" t="s">
        <v>1629</v>
      </c>
      <c r="B1674" s="3" t="s">
        <v>1630</v>
      </c>
      <c r="C1674" s="61" t="s">
        <v>3324</v>
      </c>
      <c r="D1674" s="3" t="s">
        <v>3248</v>
      </c>
      <c r="E1674" s="3">
        <v>1</v>
      </c>
      <c r="F1674" s="3" t="s">
        <v>3223</v>
      </c>
      <c r="G1674" s="9">
        <v>603.68192799999997</v>
      </c>
      <c r="H1674" s="66">
        <v>17808.616876</v>
      </c>
      <c r="I1674" s="9">
        <v>745.12885933077905</v>
      </c>
      <c r="J1674" s="10">
        <v>1.2343070494082755</v>
      </c>
      <c r="K1674" s="66">
        <v>7470.5605460809356</v>
      </c>
      <c r="L1674" s="69">
        <v>25279.177422080935</v>
      </c>
      <c r="M1674" s="64">
        <v>601494.7572791581</v>
      </c>
      <c r="N1674" s="67">
        <v>12056.542374980983</v>
      </c>
      <c r="O1674" s="64">
        <f t="shared" si="52"/>
        <v>37335.719797061916</v>
      </c>
      <c r="P1674" s="64">
        <f t="shared" si="53"/>
        <v>61.846674656561724</v>
      </c>
    </row>
    <row r="1675" spans="1:16" ht="15">
      <c r="A1675" s="3" t="s">
        <v>249</v>
      </c>
      <c r="B1675" s="3" t="s">
        <v>250</v>
      </c>
      <c r="C1675" s="61" t="s">
        <v>3305</v>
      </c>
      <c r="D1675" s="3" t="s">
        <v>1684</v>
      </c>
      <c r="E1675" s="3">
        <v>1</v>
      </c>
      <c r="F1675" s="3" t="s">
        <v>3266</v>
      </c>
      <c r="G1675" s="9">
        <v>57.017623</v>
      </c>
      <c r="H1675" s="66">
        <v>1682.0198785</v>
      </c>
      <c r="I1675" s="9">
        <v>61.1140628691263</v>
      </c>
      <c r="J1675" s="10">
        <v>1.0718451533682192</v>
      </c>
      <c r="K1675" s="66">
        <v>216.35465526022824</v>
      </c>
      <c r="L1675" s="69">
        <v>1898.3745337602281</v>
      </c>
      <c r="M1675" s="64">
        <v>0</v>
      </c>
      <c r="N1675" s="67">
        <v>0</v>
      </c>
      <c r="O1675" s="64">
        <f t="shared" si="52"/>
        <v>1898.3745337602281</v>
      </c>
      <c r="P1675" s="64">
        <f t="shared" si="53"/>
        <v>33.294522533151337</v>
      </c>
    </row>
    <row r="1676" spans="1:16" ht="15">
      <c r="A1676" s="3" t="str">
        <f>"052860"</f>
        <v>052860</v>
      </c>
      <c r="B1676" s="3" t="s">
        <v>2808</v>
      </c>
      <c r="C1676" s="61" t="s">
        <v>3305</v>
      </c>
      <c r="D1676" s="3" t="s">
        <v>3249</v>
      </c>
      <c r="E1676" s="3">
        <v>1</v>
      </c>
      <c r="F1676" s="3" t="s">
        <v>3220</v>
      </c>
      <c r="G1676" s="9">
        <v>271</v>
      </c>
      <c r="H1676" s="66">
        <v>7994.5</v>
      </c>
      <c r="I1676" s="9">
        <v>282.06099999999998</v>
      </c>
      <c r="J1676" s="10">
        <v>1.0408154981549815</v>
      </c>
      <c r="K1676" s="66">
        <v>584.18991082219577</v>
      </c>
      <c r="L1676" s="69">
        <v>8578.6899108221951</v>
      </c>
      <c r="M1676" s="64">
        <v>0</v>
      </c>
      <c r="N1676" s="67">
        <v>0</v>
      </c>
      <c r="O1676" s="64">
        <f t="shared" si="52"/>
        <v>8578.6899108221951</v>
      </c>
      <c r="P1676" s="64">
        <f t="shared" si="53"/>
        <v>31.655682327757177</v>
      </c>
    </row>
    <row r="1677" spans="1:16" ht="15">
      <c r="A1677" s="3" t="s">
        <v>1631</v>
      </c>
      <c r="B1677" s="3" t="s">
        <v>1632</v>
      </c>
      <c r="C1677" s="61" t="s">
        <v>3305</v>
      </c>
      <c r="D1677" s="3" t="s">
        <v>3248</v>
      </c>
      <c r="E1677" s="3">
        <v>1</v>
      </c>
      <c r="F1677" s="3" t="s">
        <v>1904</v>
      </c>
      <c r="G1677" s="9">
        <v>1280.7440240000001</v>
      </c>
      <c r="H1677" s="66">
        <v>37781.948708000004</v>
      </c>
      <c r="I1677" s="9">
        <v>1482.0190227549499</v>
      </c>
      <c r="J1677" s="10">
        <v>1.1571547436359146</v>
      </c>
      <c r="K1677" s="66">
        <v>10630.397213036065</v>
      </c>
      <c r="L1677" s="69">
        <v>48412.345921036067</v>
      </c>
      <c r="M1677" s="64">
        <v>648297.28729134495</v>
      </c>
      <c r="N1677" s="67">
        <v>12994.666406021148</v>
      </c>
      <c r="O1677" s="64">
        <f t="shared" si="52"/>
        <v>61407.012327057215</v>
      </c>
      <c r="P1677" s="64">
        <f t="shared" si="53"/>
        <v>47.94635866054778</v>
      </c>
    </row>
    <row r="1678" spans="1:16" ht="15">
      <c r="A1678" s="3" t="s">
        <v>1633</v>
      </c>
      <c r="B1678" s="3" t="s">
        <v>1634</v>
      </c>
      <c r="C1678" s="61" t="s">
        <v>3305</v>
      </c>
      <c r="D1678" s="3" t="s">
        <v>3248</v>
      </c>
      <c r="E1678" s="3">
        <v>1</v>
      </c>
      <c r="F1678" s="3" t="s">
        <v>1904</v>
      </c>
      <c r="G1678" s="9">
        <v>842.54140800000005</v>
      </c>
      <c r="H1678" s="66">
        <v>24854.971536000001</v>
      </c>
      <c r="I1678" s="9">
        <v>987.89341050019004</v>
      </c>
      <c r="J1678" s="10">
        <v>1.1725161530579515</v>
      </c>
      <c r="K1678" s="66">
        <v>7676.8080081741</v>
      </c>
      <c r="L1678" s="69">
        <v>32531.7795441741</v>
      </c>
      <c r="M1678" s="64">
        <v>615529.8216003339</v>
      </c>
      <c r="N1678" s="67">
        <v>12337.865438359417</v>
      </c>
      <c r="O1678" s="64">
        <f t="shared" si="52"/>
        <v>44869.644982533515</v>
      </c>
      <c r="P1678" s="64">
        <f t="shared" si="53"/>
        <v>53.255121417763618</v>
      </c>
    </row>
    <row r="1679" spans="1:16" ht="15">
      <c r="A1679" s="3" t="s">
        <v>1635</v>
      </c>
      <c r="B1679" s="3" t="s">
        <v>1495</v>
      </c>
      <c r="C1679" s="61" t="s">
        <v>3305</v>
      </c>
      <c r="D1679" s="3" t="s">
        <v>3248</v>
      </c>
      <c r="E1679" s="3">
        <v>1</v>
      </c>
      <c r="F1679" s="3" t="s">
        <v>1904</v>
      </c>
      <c r="G1679" s="9">
        <v>1032.3685849999999</v>
      </c>
      <c r="H1679" s="66">
        <v>30454.873257499999</v>
      </c>
      <c r="I1679" s="9">
        <v>1145.4052180170199</v>
      </c>
      <c r="J1679" s="10">
        <v>1.1094925152309048</v>
      </c>
      <c r="K1679" s="66">
        <v>5970.06243213582</v>
      </c>
      <c r="L1679" s="69">
        <v>36424.935689635822</v>
      </c>
      <c r="M1679" s="64">
        <v>889652.05479323212</v>
      </c>
      <c r="N1679" s="67">
        <v>17832.454178192333</v>
      </c>
      <c r="O1679" s="64">
        <f t="shared" si="52"/>
        <v>54257.389867828155</v>
      </c>
      <c r="P1679" s="64">
        <f t="shared" si="53"/>
        <v>52.556219412496127</v>
      </c>
    </row>
    <row r="1680" spans="1:16" ht="15">
      <c r="A1680" s="3" t="str">
        <f>"115535"</f>
        <v>115535</v>
      </c>
      <c r="B1680" s="3" t="s">
        <v>3076</v>
      </c>
      <c r="C1680" s="61" t="s">
        <v>3305</v>
      </c>
      <c r="D1680" s="3" t="s">
        <v>3249</v>
      </c>
      <c r="E1680" s="3">
        <v>1</v>
      </c>
      <c r="F1680" s="3" t="s">
        <v>3220</v>
      </c>
      <c r="G1680" s="9">
        <v>117</v>
      </c>
      <c r="H1680" s="66">
        <v>3451.5</v>
      </c>
      <c r="I1680" s="9">
        <v>117</v>
      </c>
      <c r="J1680" s="10">
        <v>1</v>
      </c>
      <c r="K1680" s="66">
        <v>0</v>
      </c>
      <c r="L1680" s="69">
        <v>3451.5</v>
      </c>
      <c r="M1680" s="64">
        <v>0</v>
      </c>
      <c r="N1680" s="67">
        <v>0</v>
      </c>
      <c r="O1680" s="64">
        <f t="shared" si="52"/>
        <v>3451.5</v>
      </c>
      <c r="P1680" s="64">
        <f t="shared" si="53"/>
        <v>29.5</v>
      </c>
    </row>
    <row r="1681" spans="1:16" ht="15">
      <c r="A1681" s="3" t="s">
        <v>291</v>
      </c>
      <c r="B1681" s="3" t="s">
        <v>292</v>
      </c>
      <c r="C1681" s="61" t="s">
        <v>3305</v>
      </c>
      <c r="D1681" s="3" t="s">
        <v>1684</v>
      </c>
      <c r="E1681" s="3">
        <v>1</v>
      </c>
      <c r="F1681" s="3" t="s">
        <v>3266</v>
      </c>
      <c r="G1681" s="9">
        <v>62.565283999999998</v>
      </c>
      <c r="H1681" s="66">
        <v>1845.675878</v>
      </c>
      <c r="I1681" s="9">
        <v>99.342344155540104</v>
      </c>
      <c r="J1681" s="10">
        <v>1.5878189597211787</v>
      </c>
      <c r="K1681" s="66">
        <v>1942.3910580026709</v>
      </c>
      <c r="L1681" s="69">
        <v>3788.0669360026709</v>
      </c>
      <c r="M1681" s="64">
        <v>0</v>
      </c>
      <c r="N1681" s="67">
        <v>0</v>
      </c>
      <c r="O1681" s="64">
        <f t="shared" si="52"/>
        <v>3788.0669360026709</v>
      </c>
      <c r="P1681" s="64">
        <f t="shared" si="53"/>
        <v>60.545828194477167</v>
      </c>
    </row>
    <row r="1682" spans="1:16" ht="15">
      <c r="A1682" s="3" t="str">
        <f>"132829"</f>
        <v>132829</v>
      </c>
      <c r="B1682" s="3" t="s">
        <v>2630</v>
      </c>
      <c r="C1682" s="61" t="s">
        <v>3305</v>
      </c>
      <c r="D1682" s="3" t="s">
        <v>3249</v>
      </c>
      <c r="E1682" s="3">
        <v>1</v>
      </c>
      <c r="F1682" s="3" t="s">
        <v>3220</v>
      </c>
      <c r="G1682" s="9">
        <v>83</v>
      </c>
      <c r="H1682" s="66">
        <v>2448.5</v>
      </c>
      <c r="I1682" s="9">
        <v>86.1</v>
      </c>
      <c r="J1682" s="10">
        <v>1.0373493975903614</v>
      </c>
      <c r="K1682" s="66">
        <v>163.72739567388183</v>
      </c>
      <c r="L1682" s="69">
        <v>2612.2273956738818</v>
      </c>
      <c r="M1682" s="64">
        <v>0</v>
      </c>
      <c r="N1682" s="67">
        <v>0</v>
      </c>
      <c r="O1682" s="64">
        <f t="shared" si="52"/>
        <v>2612.2273956738818</v>
      </c>
      <c r="P1682" s="64">
        <f t="shared" si="53"/>
        <v>31.472619224986527</v>
      </c>
    </row>
    <row r="1683" spans="1:16" ht="15">
      <c r="A1683" s="3" t="s">
        <v>1638</v>
      </c>
      <c r="B1683" s="3" t="s">
        <v>1037</v>
      </c>
      <c r="C1683" s="61" t="s">
        <v>3305</v>
      </c>
      <c r="D1683" s="3" t="s">
        <v>3248</v>
      </c>
      <c r="E1683" s="3">
        <v>1</v>
      </c>
      <c r="F1683" s="3" t="s">
        <v>3223</v>
      </c>
      <c r="G1683" s="9">
        <v>1331.2687020000001</v>
      </c>
      <c r="H1683" s="66">
        <v>39272.426708999999</v>
      </c>
      <c r="I1683" s="9">
        <v>1530.6926396981601</v>
      </c>
      <c r="J1683" s="10">
        <v>1.1497999144714814</v>
      </c>
      <c r="K1683" s="66">
        <v>10532.632888500084</v>
      </c>
      <c r="L1683" s="69">
        <v>49805.059597500083</v>
      </c>
      <c r="M1683" s="64">
        <v>1298662.568507039</v>
      </c>
      <c r="N1683" s="67">
        <v>26030.784306138274</v>
      </c>
      <c r="O1683" s="64">
        <f t="shared" si="52"/>
        <v>75835.843903638364</v>
      </c>
      <c r="P1683" s="64">
        <f t="shared" si="53"/>
        <v>56.965091862903542</v>
      </c>
    </row>
    <row r="1684" spans="1:16" ht="15">
      <c r="A1684" s="3" t="s">
        <v>1636</v>
      </c>
      <c r="B1684" s="3" t="s">
        <v>1637</v>
      </c>
      <c r="C1684" s="61" t="s">
        <v>3305</v>
      </c>
      <c r="D1684" s="3" t="s">
        <v>3248</v>
      </c>
      <c r="E1684" s="3">
        <v>1</v>
      </c>
      <c r="F1684" s="3" t="s">
        <v>1904</v>
      </c>
      <c r="G1684" s="9">
        <v>1406.9006139999999</v>
      </c>
      <c r="H1684" s="66">
        <v>41503.568112999994</v>
      </c>
      <c r="I1684" s="9">
        <v>1605.2266814208101</v>
      </c>
      <c r="J1684" s="10">
        <v>1.1409666506981924</v>
      </c>
      <c r="K1684" s="66">
        <v>10474.648552597424</v>
      </c>
      <c r="L1684" s="69">
        <v>51978.216665597414</v>
      </c>
      <c r="M1684" s="64">
        <v>1215010.144418359</v>
      </c>
      <c r="N1684" s="67">
        <v>24354.029881283048</v>
      </c>
      <c r="O1684" s="64">
        <f t="shared" si="52"/>
        <v>76332.246546880458</v>
      </c>
      <c r="P1684" s="64">
        <f t="shared" si="53"/>
        <v>54.255606819203834</v>
      </c>
    </row>
    <row r="1685" spans="1:16" ht="15">
      <c r="A1685" s="3" t="s">
        <v>749</v>
      </c>
      <c r="B1685" s="3" t="s">
        <v>750</v>
      </c>
      <c r="C1685" s="61" t="s">
        <v>3305</v>
      </c>
      <c r="D1685" s="3" t="s">
        <v>3248</v>
      </c>
      <c r="E1685" s="3">
        <v>1</v>
      </c>
      <c r="F1685" s="3" t="s">
        <v>1905</v>
      </c>
      <c r="G1685" s="9">
        <v>1564.0098889999999</v>
      </c>
      <c r="H1685" s="66">
        <v>46138.291725499999</v>
      </c>
      <c r="I1685" s="9">
        <v>1877.11302476227</v>
      </c>
      <c r="J1685" s="10">
        <v>1.2001925550243564</v>
      </c>
      <c r="K1685" s="66">
        <v>16536.632579252397</v>
      </c>
      <c r="L1685" s="69">
        <v>62674.924304752392</v>
      </c>
      <c r="M1685" s="64">
        <v>523192.08604628989</v>
      </c>
      <c r="N1685" s="67">
        <v>10487.020010291219</v>
      </c>
      <c r="O1685" s="64">
        <f t="shared" si="52"/>
        <v>73161.944315043613</v>
      </c>
      <c r="P1685" s="64">
        <f t="shared" si="53"/>
        <v>46.778440999386554</v>
      </c>
    </row>
    <row r="1686" spans="1:16" ht="15">
      <c r="A1686" s="3" t="s">
        <v>95</v>
      </c>
      <c r="B1686" s="3" t="s">
        <v>96</v>
      </c>
      <c r="C1686" s="61" t="s">
        <v>3305</v>
      </c>
      <c r="D1686" s="3" t="s">
        <v>1684</v>
      </c>
      <c r="E1686" s="3">
        <v>1</v>
      </c>
      <c r="F1686" s="3" t="s">
        <v>3266</v>
      </c>
      <c r="G1686" s="9">
        <v>32.317577999999997</v>
      </c>
      <c r="H1686" s="66">
        <v>953.36855099999991</v>
      </c>
      <c r="I1686" s="9">
        <v>37.699280931119397</v>
      </c>
      <c r="J1686" s="10">
        <v>1.1665255648526445</v>
      </c>
      <c r="K1686" s="66">
        <v>284.23619522667002</v>
      </c>
      <c r="L1686" s="69">
        <v>1237.6047462266699</v>
      </c>
      <c r="M1686" s="64">
        <v>0</v>
      </c>
      <c r="N1686" s="67">
        <v>0</v>
      </c>
      <c r="O1686" s="64">
        <f t="shared" si="52"/>
        <v>1237.6047462266699</v>
      </c>
      <c r="P1686" s="64">
        <f t="shared" si="53"/>
        <v>38.295095821434082</v>
      </c>
    </row>
    <row r="1687" spans="1:16" ht="15">
      <c r="A1687" s="3" t="s">
        <v>938</v>
      </c>
      <c r="B1687" s="3" t="s">
        <v>939</v>
      </c>
      <c r="C1687" s="61" t="s">
        <v>3305</v>
      </c>
      <c r="D1687" s="3" t="s">
        <v>3248</v>
      </c>
      <c r="E1687" s="3">
        <v>1</v>
      </c>
      <c r="F1687" s="3" t="s">
        <v>3223</v>
      </c>
      <c r="G1687" s="9">
        <v>961.21307300000001</v>
      </c>
      <c r="H1687" s="66">
        <v>28355.785653499999</v>
      </c>
      <c r="I1687" s="9">
        <v>1151.8743463731601</v>
      </c>
      <c r="J1687" s="10">
        <v>1.1983548483980722</v>
      </c>
      <c r="K1687" s="66">
        <v>10069.830240404381</v>
      </c>
      <c r="L1687" s="69">
        <v>38425.615893904382</v>
      </c>
      <c r="M1687" s="64">
        <v>342553.14256523061</v>
      </c>
      <c r="N1687" s="67">
        <v>6866.2385316582886</v>
      </c>
      <c r="O1687" s="64">
        <f t="shared" si="52"/>
        <v>45291.854425562669</v>
      </c>
      <c r="P1687" s="64">
        <f t="shared" si="53"/>
        <v>47.119474024842638</v>
      </c>
    </row>
    <row r="1688" spans="1:16" ht="15">
      <c r="A1688" s="3" t="s">
        <v>1639</v>
      </c>
      <c r="B1688" s="3" t="s">
        <v>1436</v>
      </c>
      <c r="C1688" s="61" t="s">
        <v>3305</v>
      </c>
      <c r="D1688" s="3" t="s">
        <v>3248</v>
      </c>
      <c r="E1688" s="3">
        <v>1</v>
      </c>
      <c r="F1688" s="3" t="s">
        <v>3223</v>
      </c>
      <c r="G1688" s="9">
        <v>1350.2197980000001</v>
      </c>
      <c r="H1688" s="66">
        <v>39831.484041000003</v>
      </c>
      <c r="I1688" s="9">
        <v>1662.8189427222401</v>
      </c>
      <c r="J1688" s="10">
        <v>1.2315172279248716</v>
      </c>
      <c r="K1688" s="66">
        <v>16510.01414685656</v>
      </c>
      <c r="L1688" s="69">
        <v>56341.49818785656</v>
      </c>
      <c r="M1688" s="64">
        <v>1773880.8491853171</v>
      </c>
      <c r="N1688" s="67">
        <v>35556.202888804604</v>
      </c>
      <c r="O1688" s="64">
        <f t="shared" si="52"/>
        <v>91897.701076661164</v>
      </c>
      <c r="P1688" s="64">
        <f t="shared" si="53"/>
        <v>68.061289882420425</v>
      </c>
    </row>
    <row r="1689" spans="1:16" ht="15">
      <c r="A1689" s="3" t="str">
        <f>"057562"</f>
        <v>057562</v>
      </c>
      <c r="B1689" s="3" t="s">
        <v>2672</v>
      </c>
      <c r="C1689" s="61" t="s">
        <v>3305</v>
      </c>
      <c r="D1689" s="3" t="s">
        <v>3249</v>
      </c>
      <c r="E1689" s="3">
        <v>1</v>
      </c>
      <c r="F1689" s="3" t="s">
        <v>3220</v>
      </c>
      <c r="G1689" s="9">
        <v>102</v>
      </c>
      <c r="H1689" s="66">
        <v>3009</v>
      </c>
      <c r="I1689" s="9">
        <v>105.1122</v>
      </c>
      <c r="J1689" s="10">
        <v>1.0305117647058823</v>
      </c>
      <c r="K1689" s="66">
        <v>164.3717421987923</v>
      </c>
      <c r="L1689" s="69">
        <v>3173.3717421987922</v>
      </c>
      <c r="M1689" s="64">
        <v>0</v>
      </c>
      <c r="N1689" s="67">
        <v>0</v>
      </c>
      <c r="O1689" s="64">
        <f t="shared" si="52"/>
        <v>3173.3717421987922</v>
      </c>
      <c r="P1689" s="64">
        <f t="shared" si="53"/>
        <v>31.111487668615609</v>
      </c>
    </row>
    <row r="1690" spans="1:16" ht="15">
      <c r="A1690" s="3" t="str">
        <f>"057257"</f>
        <v>057257</v>
      </c>
      <c r="B1690" s="3" t="s">
        <v>2736</v>
      </c>
      <c r="C1690" s="61" t="s">
        <v>3305</v>
      </c>
      <c r="D1690" s="3" t="s">
        <v>3249</v>
      </c>
      <c r="E1690" s="3">
        <v>1</v>
      </c>
      <c r="F1690" s="3" t="s">
        <v>3220</v>
      </c>
      <c r="G1690" s="9">
        <v>54</v>
      </c>
      <c r="H1690" s="66">
        <v>1593</v>
      </c>
      <c r="I1690" s="9">
        <v>62.136600000000001</v>
      </c>
      <c r="J1690" s="10">
        <v>1.1506777777777779</v>
      </c>
      <c r="K1690" s="66">
        <v>429.73687988390623</v>
      </c>
      <c r="L1690" s="69">
        <v>2022.7368798839061</v>
      </c>
      <c r="M1690" s="64">
        <v>0</v>
      </c>
      <c r="N1690" s="67">
        <v>0</v>
      </c>
      <c r="O1690" s="64">
        <f t="shared" si="52"/>
        <v>2022.7368798839061</v>
      </c>
      <c r="P1690" s="64">
        <f t="shared" si="53"/>
        <v>37.458090368220482</v>
      </c>
    </row>
    <row r="1691" spans="1:16" ht="15">
      <c r="A1691" s="3" t="s">
        <v>1640</v>
      </c>
      <c r="B1691" s="3" t="s">
        <v>1641</v>
      </c>
      <c r="C1691" s="61" t="s">
        <v>3305</v>
      </c>
      <c r="D1691" s="3" t="s">
        <v>3248</v>
      </c>
      <c r="E1691" s="3">
        <v>1</v>
      </c>
      <c r="F1691" s="3" t="s">
        <v>1904</v>
      </c>
      <c r="G1691" s="9">
        <v>1571.120457</v>
      </c>
      <c r="H1691" s="66">
        <v>46348.053481499999</v>
      </c>
      <c r="I1691" s="9">
        <v>1811.6425921023799</v>
      </c>
      <c r="J1691" s="10">
        <v>1.1530895572206148</v>
      </c>
      <c r="K1691" s="66">
        <v>12703.246058785255</v>
      </c>
      <c r="L1691" s="69">
        <v>59051.299540285254</v>
      </c>
      <c r="M1691" s="64">
        <v>1439821.7685562344</v>
      </c>
      <c r="N1691" s="67">
        <v>28860.221897099156</v>
      </c>
      <c r="O1691" s="64">
        <f t="shared" si="52"/>
        <v>87911.521437384406</v>
      </c>
      <c r="P1691" s="64">
        <f t="shared" si="53"/>
        <v>55.954666649334072</v>
      </c>
    </row>
    <row r="1692" spans="1:16" ht="15">
      <c r="A1692" s="19">
        <v>71191</v>
      </c>
      <c r="B1692" s="20" t="s">
        <v>1916</v>
      </c>
      <c r="C1692" s="61" t="s">
        <v>3305</v>
      </c>
      <c r="D1692" s="19" t="s">
        <v>1973</v>
      </c>
      <c r="E1692" s="19">
        <v>1</v>
      </c>
      <c r="F1692" s="19" t="s">
        <v>1974</v>
      </c>
      <c r="G1692" s="9">
        <v>26.19</v>
      </c>
      <c r="H1692" s="66">
        <v>772.60500000000002</v>
      </c>
      <c r="I1692" s="9">
        <v>122.20201800000001</v>
      </c>
      <c r="J1692" s="10">
        <v>4.6659800687285227</v>
      </c>
      <c r="K1692" s="66">
        <v>5070.9024711399661</v>
      </c>
      <c r="L1692" s="69">
        <v>5843.5074711399666</v>
      </c>
      <c r="M1692" s="64">
        <v>0</v>
      </c>
      <c r="N1692" s="67">
        <v>0</v>
      </c>
      <c r="O1692" s="64">
        <f t="shared" si="52"/>
        <v>5843.5074711399666</v>
      </c>
      <c r="P1692" s="64">
        <f t="shared" si="53"/>
        <v>223.11979653073564</v>
      </c>
    </row>
    <row r="1693" spans="1:16" ht="15">
      <c r="A1693" s="3" t="s">
        <v>523</v>
      </c>
      <c r="B1693" s="3" t="s">
        <v>1850</v>
      </c>
      <c r="C1693" s="61" t="s">
        <v>3305</v>
      </c>
      <c r="D1693" s="3" t="s">
        <v>456</v>
      </c>
      <c r="E1693" s="3">
        <v>1</v>
      </c>
      <c r="F1693" s="3" t="s">
        <v>1897</v>
      </c>
      <c r="G1693" s="9">
        <v>748.46467199999995</v>
      </c>
      <c r="H1693" s="66">
        <v>22079.707823999997</v>
      </c>
      <c r="I1693" s="9">
        <v>1038.8423601173199</v>
      </c>
      <c r="J1693" s="10">
        <v>1.3879644544095731</v>
      </c>
      <c r="K1693" s="66">
        <v>15336.381495887606</v>
      </c>
      <c r="L1693" s="69">
        <v>37416.0893198876</v>
      </c>
      <c r="M1693" s="64">
        <v>0</v>
      </c>
      <c r="N1693" s="67">
        <v>0</v>
      </c>
      <c r="O1693" s="64">
        <f t="shared" si="52"/>
        <v>37416.0893198876</v>
      </c>
      <c r="P1693" s="64">
        <f t="shared" si="53"/>
        <v>49.990454753070303</v>
      </c>
    </row>
    <row r="1694" spans="1:16" ht="15">
      <c r="A1694" s="3" t="str">
        <f>"110031"</f>
        <v>110031</v>
      </c>
      <c r="B1694" s="3" t="s">
        <v>2951</v>
      </c>
      <c r="C1694" s="61" t="s">
        <v>3305</v>
      </c>
      <c r="D1694" s="3" t="s">
        <v>3249</v>
      </c>
      <c r="E1694" s="3">
        <v>1</v>
      </c>
      <c r="F1694" s="3" t="s">
        <v>3220</v>
      </c>
      <c r="G1694" s="9">
        <v>116</v>
      </c>
      <c r="H1694" s="66">
        <v>3422</v>
      </c>
      <c r="I1694" s="9">
        <v>124.015</v>
      </c>
      <c r="J1694" s="10">
        <v>1.0690948275862069</v>
      </c>
      <c r="K1694" s="66">
        <v>423.3145407503759</v>
      </c>
      <c r="L1694" s="69">
        <v>3845.3145407503757</v>
      </c>
      <c r="M1694" s="64">
        <v>0</v>
      </c>
      <c r="N1694" s="67">
        <v>0</v>
      </c>
      <c r="O1694" s="64">
        <f t="shared" si="52"/>
        <v>3845.3145407503757</v>
      </c>
      <c r="P1694" s="64">
        <f t="shared" si="53"/>
        <v>33.149263282330828</v>
      </c>
    </row>
    <row r="1695" spans="1:16" ht="15">
      <c r="A1695" s="3" t="s">
        <v>846</v>
      </c>
      <c r="B1695" s="3" t="s">
        <v>847</v>
      </c>
      <c r="C1695" s="61" t="s">
        <v>3305</v>
      </c>
      <c r="D1695" s="3" t="s">
        <v>3248</v>
      </c>
      <c r="E1695" s="3">
        <v>1</v>
      </c>
      <c r="F1695" s="3" t="s">
        <v>1905</v>
      </c>
      <c r="G1695" s="9">
        <v>3428.6994759999998</v>
      </c>
      <c r="H1695" s="66">
        <v>101146.634542</v>
      </c>
      <c r="I1695" s="9">
        <v>4296.4822673318804</v>
      </c>
      <c r="J1695" s="10">
        <v>1.2530938617998262</v>
      </c>
      <c r="K1695" s="66">
        <v>45832.198850122804</v>
      </c>
      <c r="L1695" s="69">
        <v>146978.83339212282</v>
      </c>
      <c r="M1695" s="64">
        <v>1575083.5917491496</v>
      </c>
      <c r="N1695" s="67">
        <v>31571.450687220942</v>
      </c>
      <c r="O1695" s="64">
        <f t="shared" si="52"/>
        <v>178550.28407934375</v>
      </c>
      <c r="P1695" s="64">
        <f t="shared" si="53"/>
        <v>52.075221327838463</v>
      </c>
    </row>
    <row r="1696" spans="1:16" ht="15">
      <c r="A1696" s="3" t="s">
        <v>581</v>
      </c>
      <c r="B1696" s="3" t="s">
        <v>582</v>
      </c>
      <c r="C1696" s="61" t="s">
        <v>3343</v>
      </c>
      <c r="D1696" s="3" t="s">
        <v>3248</v>
      </c>
      <c r="E1696" s="3">
        <v>1</v>
      </c>
      <c r="F1696" s="3" t="s">
        <v>1905</v>
      </c>
      <c r="G1696" s="9">
        <v>1916.5977049999999</v>
      </c>
      <c r="H1696" s="66">
        <v>56539.6322975</v>
      </c>
      <c r="I1696" s="9">
        <v>2382.7321376315199</v>
      </c>
      <c r="J1696" s="10">
        <v>1.2432093242183653</v>
      </c>
      <c r="K1696" s="66">
        <v>24619.02473828433</v>
      </c>
      <c r="L1696" s="69">
        <v>81158.65703578433</v>
      </c>
      <c r="M1696" s="64">
        <v>968550.70253683312</v>
      </c>
      <c r="N1696" s="67">
        <v>19413.922475858548</v>
      </c>
      <c r="O1696" s="64">
        <f t="shared" si="52"/>
        <v>100572.57951164288</v>
      </c>
      <c r="P1696" s="64">
        <f t="shared" si="53"/>
        <v>52.474538213872528</v>
      </c>
    </row>
    <row r="1697" spans="1:16" ht="15">
      <c r="A1697" s="3" t="s">
        <v>1642</v>
      </c>
      <c r="B1697" s="3" t="s">
        <v>1643</v>
      </c>
      <c r="C1697" s="61" t="s">
        <v>3343</v>
      </c>
      <c r="D1697" s="3" t="s">
        <v>3248</v>
      </c>
      <c r="E1697" s="3">
        <v>1</v>
      </c>
      <c r="F1697" s="3" t="s">
        <v>3223</v>
      </c>
      <c r="G1697" s="9">
        <v>566.30803000000003</v>
      </c>
      <c r="H1697" s="66">
        <v>16706.086885000001</v>
      </c>
      <c r="I1697" s="9">
        <v>629.41686862383699</v>
      </c>
      <c r="J1697" s="10">
        <v>1.1114390672225449</v>
      </c>
      <c r="K1697" s="66">
        <v>3333.1115457690735</v>
      </c>
      <c r="L1697" s="69">
        <v>20039.198430769073</v>
      </c>
      <c r="M1697" s="64">
        <v>316464.90968740388</v>
      </c>
      <c r="N1697" s="67">
        <v>6343.3181215076265</v>
      </c>
      <c r="O1697" s="64">
        <f t="shared" si="52"/>
        <v>26382.516552276698</v>
      </c>
      <c r="P1697" s="64">
        <f t="shared" si="53"/>
        <v>46.58686643075977</v>
      </c>
    </row>
    <row r="1698" spans="1:16" ht="15">
      <c r="A1698" s="3" t="s">
        <v>1644</v>
      </c>
      <c r="B1698" s="3" t="s">
        <v>1645</v>
      </c>
      <c r="C1698" s="61" t="s">
        <v>3343</v>
      </c>
      <c r="D1698" s="3" t="s">
        <v>3248</v>
      </c>
      <c r="E1698" s="3">
        <v>1</v>
      </c>
      <c r="F1698" s="3" t="s">
        <v>3223</v>
      </c>
      <c r="G1698" s="9">
        <v>478.01229699999999</v>
      </c>
      <c r="H1698" s="66">
        <v>14101.3627615</v>
      </c>
      <c r="I1698" s="9">
        <v>567.60392657802299</v>
      </c>
      <c r="J1698" s="10">
        <v>1.1874253657077425</v>
      </c>
      <c r="K1698" s="66">
        <v>4731.8078016093077</v>
      </c>
      <c r="L1698" s="69">
        <v>18833.170563109306</v>
      </c>
      <c r="M1698" s="64">
        <v>565770.31985180918</v>
      </c>
      <c r="N1698" s="67">
        <v>11340.47097377126</v>
      </c>
      <c r="O1698" s="64">
        <f t="shared" si="52"/>
        <v>30173.641536880568</v>
      </c>
      <c r="P1698" s="64">
        <f t="shared" si="53"/>
        <v>63.123149187269902</v>
      </c>
    </row>
    <row r="1699" spans="1:16" ht="15">
      <c r="A1699" s="3" t="str">
        <f>"014140"</f>
        <v>014140</v>
      </c>
      <c r="B1699" s="3" t="s">
        <v>3184</v>
      </c>
      <c r="C1699" s="61" t="s">
        <v>3343</v>
      </c>
      <c r="D1699" s="3" t="s">
        <v>3249</v>
      </c>
      <c r="E1699" s="3">
        <v>1</v>
      </c>
      <c r="F1699" s="3" t="s">
        <v>3220</v>
      </c>
      <c r="G1699" s="9">
        <v>80</v>
      </c>
      <c r="H1699" s="66">
        <v>2360</v>
      </c>
      <c r="I1699" s="9">
        <v>80</v>
      </c>
      <c r="J1699" s="10">
        <v>1</v>
      </c>
      <c r="K1699" s="66">
        <v>0</v>
      </c>
      <c r="L1699" s="69">
        <v>2360</v>
      </c>
      <c r="M1699" s="64">
        <v>0</v>
      </c>
      <c r="N1699" s="67">
        <v>0</v>
      </c>
      <c r="O1699" s="64">
        <f t="shared" si="52"/>
        <v>2360</v>
      </c>
      <c r="P1699" s="64">
        <f t="shared" si="53"/>
        <v>29.5</v>
      </c>
    </row>
    <row r="1700" spans="1:16" ht="15">
      <c r="A1700" s="3" t="s">
        <v>1646</v>
      </c>
      <c r="B1700" s="3" t="s">
        <v>1647</v>
      </c>
      <c r="C1700" s="61" t="s">
        <v>3343</v>
      </c>
      <c r="D1700" s="3" t="s">
        <v>3248</v>
      </c>
      <c r="E1700" s="3">
        <v>1</v>
      </c>
      <c r="F1700" s="3" t="s">
        <v>3223</v>
      </c>
      <c r="G1700" s="9">
        <v>504.098253</v>
      </c>
      <c r="H1700" s="66">
        <v>14870.8984635</v>
      </c>
      <c r="I1700" s="9">
        <v>611.363976093014</v>
      </c>
      <c r="J1700" s="10">
        <v>1.2127873335300252</v>
      </c>
      <c r="K1700" s="66">
        <v>5665.2701571274119</v>
      </c>
      <c r="L1700" s="69">
        <v>20536.16862062741</v>
      </c>
      <c r="M1700" s="64">
        <v>367586.89980047807</v>
      </c>
      <c r="N1700" s="67">
        <v>7368.022713912882</v>
      </c>
      <c r="O1700" s="64">
        <f t="shared" si="52"/>
        <v>27904.191334540294</v>
      </c>
      <c r="P1700" s="64">
        <f t="shared" si="53"/>
        <v>55.354667802310942</v>
      </c>
    </row>
    <row r="1701" spans="1:16" ht="15">
      <c r="A1701" s="3" t="s">
        <v>924</v>
      </c>
      <c r="B1701" s="3" t="s">
        <v>925</v>
      </c>
      <c r="C1701" s="61" t="s">
        <v>3343</v>
      </c>
      <c r="D1701" s="3" t="s">
        <v>3248</v>
      </c>
      <c r="E1701" s="3">
        <v>1</v>
      </c>
      <c r="F1701" s="3" t="s">
        <v>3223</v>
      </c>
      <c r="G1701" s="9">
        <v>878.96837200000004</v>
      </c>
      <c r="H1701" s="66">
        <v>25929.566974000001</v>
      </c>
      <c r="I1701" s="9">
        <v>1050.7909545217899</v>
      </c>
      <c r="J1701" s="10">
        <v>1.1954820992373429</v>
      </c>
      <c r="K1701" s="66">
        <v>9074.8593400817263</v>
      </c>
      <c r="L1701" s="69">
        <v>35004.426314081727</v>
      </c>
      <c r="M1701" s="64">
        <v>742364.85757955443</v>
      </c>
      <c r="N1701" s="67">
        <v>14880.185163360777</v>
      </c>
      <c r="O1701" s="64">
        <f t="shared" si="52"/>
        <v>49884.611477442508</v>
      </c>
      <c r="P1701" s="64">
        <f t="shared" si="53"/>
        <v>56.753590989781948</v>
      </c>
    </row>
    <row r="1702" spans="1:16" ht="15">
      <c r="A1702" s="3" t="s">
        <v>1648</v>
      </c>
      <c r="B1702" s="3" t="s">
        <v>1649</v>
      </c>
      <c r="C1702" s="61" t="s">
        <v>3343</v>
      </c>
      <c r="D1702" s="3" t="s">
        <v>3248</v>
      </c>
      <c r="E1702" s="3">
        <v>1</v>
      </c>
      <c r="F1702" s="3" t="s">
        <v>3223</v>
      </c>
      <c r="G1702" s="9">
        <v>574.89871100000005</v>
      </c>
      <c r="H1702" s="66">
        <v>16959.511974500001</v>
      </c>
      <c r="I1702" s="9">
        <v>678.94883675225401</v>
      </c>
      <c r="J1702" s="10">
        <v>1.1809886224501449</v>
      </c>
      <c r="K1702" s="66">
        <v>5495.4374545020892</v>
      </c>
      <c r="L1702" s="69">
        <v>22454.949429002088</v>
      </c>
      <c r="M1702" s="64">
        <v>638789.93010416441</v>
      </c>
      <c r="N1702" s="67">
        <v>12804.098070363782</v>
      </c>
      <c r="O1702" s="64">
        <f t="shared" si="52"/>
        <v>35259.047499365872</v>
      </c>
      <c r="P1702" s="64">
        <f t="shared" si="53"/>
        <v>61.330886336542626</v>
      </c>
    </row>
    <row r="1703" spans="1:16" ht="15">
      <c r="A1703" s="3" t="str">
        <f>"059170"</f>
        <v>059170</v>
      </c>
      <c r="B1703" s="3" t="s">
        <v>2689</v>
      </c>
      <c r="C1703" s="61" t="s">
        <v>3343</v>
      </c>
      <c r="D1703" s="3" t="s">
        <v>3249</v>
      </c>
      <c r="E1703" s="3">
        <v>1</v>
      </c>
      <c r="F1703" s="3" t="s">
        <v>3220</v>
      </c>
      <c r="G1703" s="9">
        <v>76</v>
      </c>
      <c r="H1703" s="66">
        <v>2242</v>
      </c>
      <c r="I1703" s="9">
        <v>82.186999999999998</v>
      </c>
      <c r="J1703" s="10">
        <v>1.0814078947368422</v>
      </c>
      <c r="K1703" s="66">
        <v>326.76819259171236</v>
      </c>
      <c r="L1703" s="69">
        <v>2568.7681925917122</v>
      </c>
      <c r="M1703" s="64">
        <v>0</v>
      </c>
      <c r="N1703" s="67">
        <v>0</v>
      </c>
      <c r="O1703" s="64">
        <f t="shared" si="52"/>
        <v>2568.7681925917122</v>
      </c>
      <c r="P1703" s="64">
        <f t="shared" si="53"/>
        <v>33.7995814814699</v>
      </c>
    </row>
    <row r="1704" spans="1:16" ht="15">
      <c r="A1704" s="3" t="str">
        <f>"059337"</f>
        <v>059337</v>
      </c>
      <c r="B1704" s="3" t="s">
        <v>2702</v>
      </c>
      <c r="C1704" s="61" t="s">
        <v>3343</v>
      </c>
      <c r="D1704" s="3" t="s">
        <v>3249</v>
      </c>
      <c r="E1704" s="3">
        <v>1</v>
      </c>
      <c r="F1704" s="3" t="s">
        <v>3220</v>
      </c>
      <c r="G1704" s="9">
        <v>82</v>
      </c>
      <c r="H1704" s="66">
        <v>2419</v>
      </c>
      <c r="I1704" s="9">
        <v>90.373999999999995</v>
      </c>
      <c r="J1704" s="10">
        <v>1.1021219512195122</v>
      </c>
      <c r="K1704" s="66">
        <v>442.27522947518969</v>
      </c>
      <c r="L1704" s="69">
        <v>2861.2752294751899</v>
      </c>
      <c r="M1704" s="64">
        <v>0</v>
      </c>
      <c r="N1704" s="67">
        <v>0</v>
      </c>
      <c r="O1704" s="64">
        <f t="shared" si="52"/>
        <v>2861.2752294751899</v>
      </c>
      <c r="P1704" s="64">
        <f t="shared" si="53"/>
        <v>34.893600359453536</v>
      </c>
    </row>
    <row r="1705" spans="1:16" ht="15">
      <c r="A1705" s="3" t="s">
        <v>1650</v>
      </c>
      <c r="B1705" s="3" t="s">
        <v>1651</v>
      </c>
      <c r="C1705" s="61" t="s">
        <v>3343</v>
      </c>
      <c r="D1705" s="3" t="s">
        <v>3248</v>
      </c>
      <c r="E1705" s="3">
        <v>1</v>
      </c>
      <c r="F1705" s="3" t="s">
        <v>3223</v>
      </c>
      <c r="G1705" s="9">
        <v>406.84197999999998</v>
      </c>
      <c r="H1705" s="66">
        <v>12001.838409999998</v>
      </c>
      <c r="I1705" s="9">
        <v>480.84980163358</v>
      </c>
      <c r="J1705" s="10">
        <v>1.1819080263879849</v>
      </c>
      <c r="K1705" s="66">
        <v>3908.744482439758</v>
      </c>
      <c r="L1705" s="69">
        <v>15910.582892439757</v>
      </c>
      <c r="M1705" s="64">
        <v>217566.06390405877</v>
      </c>
      <c r="N1705" s="67">
        <v>4360.9598206351575</v>
      </c>
      <c r="O1705" s="64">
        <f t="shared" si="52"/>
        <v>20271.542713074916</v>
      </c>
      <c r="P1705" s="64">
        <f t="shared" si="53"/>
        <v>49.826575696723623</v>
      </c>
    </row>
    <row r="1706" spans="1:16" ht="15">
      <c r="A1706" s="3" t="str">
        <f>"058909"</f>
        <v>058909</v>
      </c>
      <c r="B1706" s="3" t="s">
        <v>2735</v>
      </c>
      <c r="C1706" s="61" t="s">
        <v>3293</v>
      </c>
      <c r="D1706" s="3" t="s">
        <v>3249</v>
      </c>
      <c r="E1706" s="3">
        <v>1</v>
      </c>
      <c r="F1706" s="3" t="s">
        <v>3220</v>
      </c>
      <c r="G1706" s="9">
        <v>136</v>
      </c>
      <c r="H1706" s="66">
        <v>4012</v>
      </c>
      <c r="I1706" s="9">
        <v>144.33659999999998</v>
      </c>
      <c r="J1706" s="10">
        <v>1.0612985294117645</v>
      </c>
      <c r="K1706" s="66">
        <v>440.29993766931671</v>
      </c>
      <c r="L1706" s="69">
        <v>4452.2999376693169</v>
      </c>
      <c r="M1706" s="64">
        <v>0</v>
      </c>
      <c r="N1706" s="67">
        <v>0</v>
      </c>
      <c r="O1706" s="64">
        <f t="shared" si="52"/>
        <v>4452.2999376693169</v>
      </c>
      <c r="P1706" s="64">
        <f t="shared" si="53"/>
        <v>32.737499541686155</v>
      </c>
    </row>
    <row r="1707" spans="1:16" ht="15">
      <c r="A1707" s="3" t="str">
        <f>"143008"</f>
        <v>143008</v>
      </c>
      <c r="B1707" s="3" t="s">
        <v>2641</v>
      </c>
      <c r="C1707" s="61" t="s">
        <v>3293</v>
      </c>
      <c r="D1707" s="3" t="s">
        <v>3249</v>
      </c>
      <c r="E1707" s="3">
        <v>1</v>
      </c>
      <c r="F1707" s="3" t="s">
        <v>3220</v>
      </c>
      <c r="G1707" s="9">
        <v>171</v>
      </c>
      <c r="H1707" s="66">
        <v>5044.5</v>
      </c>
      <c r="I1707" s="9">
        <v>171</v>
      </c>
      <c r="J1707" s="10">
        <v>1</v>
      </c>
      <c r="K1707" s="66">
        <v>0</v>
      </c>
      <c r="L1707" s="69">
        <v>5044.5</v>
      </c>
      <c r="M1707" s="64">
        <v>0</v>
      </c>
      <c r="N1707" s="67">
        <v>0</v>
      </c>
      <c r="O1707" s="64">
        <f t="shared" si="52"/>
        <v>5044.5</v>
      </c>
      <c r="P1707" s="64">
        <f t="shared" si="53"/>
        <v>29.5</v>
      </c>
    </row>
    <row r="1708" spans="1:16" ht="15">
      <c r="A1708" s="3" t="s">
        <v>574</v>
      </c>
      <c r="B1708" s="3" t="s">
        <v>1725</v>
      </c>
      <c r="C1708" s="61" t="s">
        <v>3293</v>
      </c>
      <c r="D1708" s="3" t="s">
        <v>3248</v>
      </c>
      <c r="E1708" s="3">
        <v>1</v>
      </c>
      <c r="F1708" s="3" t="s">
        <v>1906</v>
      </c>
      <c r="G1708" s="9">
        <v>2909.1434060000001</v>
      </c>
      <c r="H1708" s="66">
        <v>85819.730477000005</v>
      </c>
      <c r="I1708" s="9">
        <v>3642.8299208498702</v>
      </c>
      <c r="J1708" s="10">
        <v>1.2522001883223319</v>
      </c>
      <c r="K1708" s="66">
        <v>38749.865263682666</v>
      </c>
      <c r="L1708" s="69">
        <v>124569.59574068268</v>
      </c>
      <c r="M1708" s="64">
        <v>1771077.5259973889</v>
      </c>
      <c r="N1708" s="67">
        <v>35500.012233113921</v>
      </c>
      <c r="O1708" s="64">
        <f t="shared" si="52"/>
        <v>160069.60797379661</v>
      </c>
      <c r="P1708" s="64">
        <f t="shared" si="53"/>
        <v>55.022934807427845</v>
      </c>
    </row>
    <row r="1709" spans="1:16" ht="15">
      <c r="A1709" s="3" t="s">
        <v>1652</v>
      </c>
      <c r="B1709" s="3" t="s">
        <v>1653</v>
      </c>
      <c r="C1709" s="61" t="s">
        <v>3293</v>
      </c>
      <c r="D1709" s="3" t="s">
        <v>3248</v>
      </c>
      <c r="E1709" s="3">
        <v>1</v>
      </c>
      <c r="F1709" s="3" t="s">
        <v>1904</v>
      </c>
      <c r="G1709" s="9">
        <v>1410.4725040000001</v>
      </c>
      <c r="H1709" s="66">
        <v>41608.938868000005</v>
      </c>
      <c r="I1709" s="9">
        <v>1613.3196579134501</v>
      </c>
      <c r="J1709" s="10">
        <v>1.1438150359813395</v>
      </c>
      <c r="K1709" s="66">
        <v>10713.43104197042</v>
      </c>
      <c r="L1709" s="69">
        <v>52322.369909970424</v>
      </c>
      <c r="M1709" s="64">
        <v>1478787.7033272616</v>
      </c>
      <c r="N1709" s="67">
        <v>29641.266848966625</v>
      </c>
      <c r="O1709" s="64">
        <f t="shared" si="52"/>
        <v>81963.636758937049</v>
      </c>
      <c r="P1709" s="64">
        <f t="shared" si="53"/>
        <v>58.110765382872749</v>
      </c>
    </row>
    <row r="1710" spans="1:16" ht="15">
      <c r="A1710" s="3" t="s">
        <v>1654</v>
      </c>
      <c r="B1710" s="3" t="s">
        <v>1655</v>
      </c>
      <c r="C1710" s="61" t="s">
        <v>3293</v>
      </c>
      <c r="D1710" s="3" t="s">
        <v>3248</v>
      </c>
      <c r="E1710" s="3">
        <v>1</v>
      </c>
      <c r="F1710" s="3" t="s">
        <v>3224</v>
      </c>
      <c r="G1710" s="9">
        <v>1226.3809040000001</v>
      </c>
      <c r="H1710" s="66">
        <v>36178.236668000005</v>
      </c>
      <c r="I1710" s="9">
        <v>1517.98641215507</v>
      </c>
      <c r="J1710" s="10">
        <v>1.2377772739317456</v>
      </c>
      <c r="K1710" s="66">
        <v>15401.2291659318</v>
      </c>
      <c r="L1710" s="69">
        <v>51579.465833931805</v>
      </c>
      <c r="M1710" s="64">
        <v>1231285.4551448671</v>
      </c>
      <c r="N1710" s="67">
        <v>24680.257119451737</v>
      </c>
      <c r="O1710" s="64">
        <f t="shared" si="52"/>
        <v>76259.722953383549</v>
      </c>
      <c r="P1710" s="64">
        <f t="shared" si="53"/>
        <v>62.182738417283396</v>
      </c>
    </row>
    <row r="1711" spans="1:16" ht="15">
      <c r="A1711" s="3" t="s">
        <v>1656</v>
      </c>
      <c r="B1711" s="3" t="s">
        <v>1534</v>
      </c>
      <c r="C1711" s="61" t="s">
        <v>3293</v>
      </c>
      <c r="D1711" s="3" t="s">
        <v>3248</v>
      </c>
      <c r="E1711" s="3">
        <v>1</v>
      </c>
      <c r="F1711" s="3" t="s">
        <v>1905</v>
      </c>
      <c r="G1711" s="9">
        <v>1598.893546</v>
      </c>
      <c r="H1711" s="66">
        <v>47167.359606999999</v>
      </c>
      <c r="I1711" s="9">
        <v>1896.32946768993</v>
      </c>
      <c r="J1711" s="10">
        <v>1.1860260943788499</v>
      </c>
      <c r="K1711" s="66">
        <v>15709.16414133967</v>
      </c>
      <c r="L1711" s="69">
        <v>62876.52374833967</v>
      </c>
      <c r="M1711" s="64">
        <v>966123.08744502708</v>
      </c>
      <c r="N1711" s="67">
        <v>19365.262626590869</v>
      </c>
      <c r="O1711" s="64">
        <f t="shared" si="52"/>
        <v>82241.78637493054</v>
      </c>
      <c r="P1711" s="64">
        <f t="shared" si="53"/>
        <v>51.43668668916532</v>
      </c>
    </row>
    <row r="1712" spans="1:16" ht="15">
      <c r="A1712" s="3" t="str">
        <f>"112508"</f>
        <v>112508</v>
      </c>
      <c r="B1712" s="3" t="s">
        <v>2764</v>
      </c>
      <c r="C1712" s="61" t="s">
        <v>3293</v>
      </c>
      <c r="D1712" s="3" t="s">
        <v>3249</v>
      </c>
      <c r="E1712" s="3">
        <v>1</v>
      </c>
      <c r="F1712" s="3" t="s">
        <v>3220</v>
      </c>
      <c r="G1712" s="9">
        <v>83</v>
      </c>
      <c r="H1712" s="66">
        <v>2448.5</v>
      </c>
      <c r="I1712" s="9">
        <v>91.848799999999997</v>
      </c>
      <c r="J1712" s="10">
        <v>1.106612048192771</v>
      </c>
      <c r="K1712" s="66">
        <v>467.3519286577573</v>
      </c>
      <c r="L1712" s="69">
        <v>2915.8519286577575</v>
      </c>
      <c r="M1712" s="64">
        <v>0</v>
      </c>
      <c r="N1712" s="67">
        <v>0</v>
      </c>
      <c r="O1712" s="64">
        <f t="shared" si="52"/>
        <v>2915.8519286577575</v>
      </c>
      <c r="P1712" s="64">
        <f t="shared" si="53"/>
        <v>35.13074612840672</v>
      </c>
    </row>
    <row r="1713" spans="1:16" ht="15">
      <c r="A1713" s="3" t="s">
        <v>1657</v>
      </c>
      <c r="B1713" s="3" t="s">
        <v>1658</v>
      </c>
      <c r="C1713" s="61" t="s">
        <v>3293</v>
      </c>
      <c r="D1713" s="3" t="s">
        <v>3248</v>
      </c>
      <c r="E1713" s="3">
        <v>1</v>
      </c>
      <c r="F1713" s="3" t="s">
        <v>3223</v>
      </c>
      <c r="G1713" s="9">
        <v>604.14884199999995</v>
      </c>
      <c r="H1713" s="66">
        <v>17822.390839</v>
      </c>
      <c r="I1713" s="9">
        <v>734.75382969252905</v>
      </c>
      <c r="J1713" s="10">
        <v>1.2161801506730838</v>
      </c>
      <c r="K1713" s="66">
        <v>6897.9401602958769</v>
      </c>
      <c r="L1713" s="69">
        <v>24720.330999295875</v>
      </c>
      <c r="M1713" s="64">
        <v>339815.09210845188</v>
      </c>
      <c r="N1713" s="67">
        <v>6811.3562222823675</v>
      </c>
      <c r="O1713" s="64">
        <f t="shared" si="52"/>
        <v>31531.687221578242</v>
      </c>
      <c r="P1713" s="64">
        <f t="shared" si="53"/>
        <v>52.19191866228595</v>
      </c>
    </row>
    <row r="1714" spans="1:16" ht="15">
      <c r="A1714" s="3" t="s">
        <v>1659</v>
      </c>
      <c r="B1714" s="3" t="s">
        <v>1744</v>
      </c>
      <c r="C1714" s="61" t="s">
        <v>3293</v>
      </c>
      <c r="D1714" s="3" t="s">
        <v>3248</v>
      </c>
      <c r="E1714" s="3">
        <v>1</v>
      </c>
      <c r="F1714" s="3" t="s">
        <v>1905</v>
      </c>
      <c r="G1714" s="9">
        <v>879.47700499999996</v>
      </c>
      <c r="H1714" s="66">
        <v>25944.571647499997</v>
      </c>
      <c r="I1714" s="9">
        <v>1094.912837244</v>
      </c>
      <c r="J1714" s="10">
        <v>1.2449590279441132</v>
      </c>
      <c r="K1714" s="66">
        <v>11378.305725208222</v>
      </c>
      <c r="L1714" s="69">
        <v>37322.877372708215</v>
      </c>
      <c r="M1714" s="64">
        <v>461510.51581970713</v>
      </c>
      <c r="N1714" s="67">
        <v>9250.65600845667</v>
      </c>
      <c r="O1714" s="64">
        <f t="shared" si="52"/>
        <v>46573.533381164889</v>
      </c>
      <c r="P1714" s="64">
        <f t="shared" si="53"/>
        <v>52.955942129680686</v>
      </c>
    </row>
    <row r="1715" spans="1:16" ht="15">
      <c r="A1715" s="3" t="s">
        <v>1660</v>
      </c>
      <c r="B1715" s="3" t="s">
        <v>1661</v>
      </c>
      <c r="C1715" s="61" t="s">
        <v>3293</v>
      </c>
      <c r="D1715" s="3" t="s">
        <v>3248</v>
      </c>
      <c r="E1715" s="3">
        <v>1</v>
      </c>
      <c r="F1715" s="3" t="s">
        <v>1904</v>
      </c>
      <c r="G1715" s="9">
        <v>1526.1373639999999</v>
      </c>
      <c r="H1715" s="66">
        <v>45021.052237999997</v>
      </c>
      <c r="I1715" s="9">
        <v>1765.0462972312901</v>
      </c>
      <c r="J1715" s="10">
        <v>1.1565448424675946</v>
      </c>
      <c r="K1715" s="66">
        <v>12618.044335865976</v>
      </c>
      <c r="L1715" s="69">
        <v>57639.096573865972</v>
      </c>
      <c r="M1715" s="64">
        <v>1608277.3647056594</v>
      </c>
      <c r="N1715" s="67">
        <v>32236.796686321515</v>
      </c>
      <c r="O1715" s="64">
        <f t="shared" si="52"/>
        <v>89875.893260187484</v>
      </c>
      <c r="P1715" s="64">
        <f t="shared" si="53"/>
        <v>58.891090265048703</v>
      </c>
    </row>
    <row r="1716" spans="1:16" ht="15">
      <c r="A1716" s="3" t="s">
        <v>496</v>
      </c>
      <c r="B1716" s="3" t="s">
        <v>497</v>
      </c>
      <c r="C1716" s="61" t="s">
        <v>3293</v>
      </c>
      <c r="D1716" s="3" t="s">
        <v>456</v>
      </c>
      <c r="E1716" s="3">
        <v>1</v>
      </c>
      <c r="F1716" s="3" t="s">
        <v>1897</v>
      </c>
      <c r="G1716" s="9">
        <v>1871.35</v>
      </c>
      <c r="H1716" s="66">
        <v>55204.824999999997</v>
      </c>
      <c r="I1716" s="9">
        <v>2528.1857282280898</v>
      </c>
      <c r="J1716" s="10">
        <v>1.3509956599396638</v>
      </c>
      <c r="K1716" s="66">
        <v>34690.968763981611</v>
      </c>
      <c r="L1716" s="69">
        <v>89895.793763981608</v>
      </c>
      <c r="M1716" s="64">
        <v>0</v>
      </c>
      <c r="N1716" s="67">
        <v>0</v>
      </c>
      <c r="O1716" s="64">
        <f t="shared" si="52"/>
        <v>89895.793763981608</v>
      </c>
      <c r="P1716" s="64">
        <f t="shared" si="53"/>
        <v>48.037937191857011</v>
      </c>
    </row>
    <row r="1717" spans="1:16" ht="15">
      <c r="A1717" s="3" t="s">
        <v>936</v>
      </c>
      <c r="B1717" s="3" t="s">
        <v>937</v>
      </c>
      <c r="C1717" s="61" t="s">
        <v>3293</v>
      </c>
      <c r="D1717" s="3" t="s">
        <v>3248</v>
      </c>
      <c r="E1717" s="3">
        <v>1</v>
      </c>
      <c r="F1717" s="3" t="s">
        <v>1907</v>
      </c>
      <c r="G1717" s="9">
        <v>5282.0796449999998</v>
      </c>
      <c r="H1717" s="66">
        <v>155821.34952749999</v>
      </c>
      <c r="I1717" s="9">
        <v>6114.0749229134299</v>
      </c>
      <c r="J1717" s="10">
        <v>1.1575128233253722</v>
      </c>
      <c r="K1717" s="66">
        <v>43942.070988946347</v>
      </c>
      <c r="L1717" s="69">
        <v>199763.42051644635</v>
      </c>
      <c r="M1717" s="64">
        <v>3194225.4834750015</v>
      </c>
      <c r="N1717" s="67">
        <v>64026.019230766287</v>
      </c>
      <c r="O1717" s="64">
        <f t="shared" si="52"/>
        <v>263789.43974721263</v>
      </c>
      <c r="P1717" s="64">
        <f t="shared" si="53"/>
        <v>49.940451010979153</v>
      </c>
    </row>
    <row r="1718" spans="1:16" ht="15">
      <c r="A1718" s="3" t="s">
        <v>940</v>
      </c>
      <c r="B1718" s="3" t="s">
        <v>941</v>
      </c>
      <c r="C1718" s="61" t="s">
        <v>3293</v>
      </c>
      <c r="D1718" s="3" t="s">
        <v>3248</v>
      </c>
      <c r="E1718" s="3">
        <v>1</v>
      </c>
      <c r="F1718" s="3" t="s">
        <v>1904</v>
      </c>
      <c r="G1718" s="9">
        <v>1507.2143659999999</v>
      </c>
      <c r="H1718" s="66">
        <v>44462.823796999997</v>
      </c>
      <c r="I1718" s="9">
        <v>1742.3130762630601</v>
      </c>
      <c r="J1718" s="10">
        <v>1.155982264743793</v>
      </c>
      <c r="K1718" s="66">
        <v>12416.806308922394</v>
      </c>
      <c r="L1718" s="69">
        <v>56879.630105922392</v>
      </c>
      <c r="M1718" s="64">
        <v>832701.5224527946</v>
      </c>
      <c r="N1718" s="67">
        <v>16690.920527016151</v>
      </c>
      <c r="O1718" s="64">
        <f t="shared" si="52"/>
        <v>73570.550632938539</v>
      </c>
      <c r="P1718" s="64">
        <f t="shared" si="53"/>
        <v>48.812267380510455</v>
      </c>
    </row>
    <row r="1719" spans="1:16" ht="15">
      <c r="A1719" s="3" t="str">
        <f>"058768"</f>
        <v>058768</v>
      </c>
      <c r="B1719" s="3" t="s">
        <v>2780</v>
      </c>
      <c r="C1719" s="61" t="s">
        <v>3293</v>
      </c>
      <c r="D1719" s="3" t="s">
        <v>3249</v>
      </c>
      <c r="E1719" s="3">
        <v>1</v>
      </c>
      <c r="F1719" s="3" t="s">
        <v>3220</v>
      </c>
      <c r="G1719" s="9">
        <v>175</v>
      </c>
      <c r="H1719" s="66">
        <v>5162.5</v>
      </c>
      <c r="I1719" s="9">
        <v>187.8862</v>
      </c>
      <c r="J1719" s="10">
        <v>1.0736354285714287</v>
      </c>
      <c r="K1719" s="66">
        <v>680.58837617186452</v>
      </c>
      <c r="L1719" s="69">
        <v>5843.0883761718642</v>
      </c>
      <c r="M1719" s="64">
        <v>0</v>
      </c>
      <c r="N1719" s="67">
        <v>0</v>
      </c>
      <c r="O1719" s="64">
        <f t="shared" si="52"/>
        <v>5843.0883761718642</v>
      </c>
      <c r="P1719" s="64">
        <f t="shared" si="53"/>
        <v>33.389076435267796</v>
      </c>
    </row>
    <row r="1720" spans="1:16" ht="15">
      <c r="A1720" s="3" t="str">
        <f>"059139"</f>
        <v>059139</v>
      </c>
      <c r="B1720" s="3" t="s">
        <v>2674</v>
      </c>
      <c r="C1720" s="61" t="s">
        <v>3293</v>
      </c>
      <c r="D1720" s="3" t="s">
        <v>3249</v>
      </c>
      <c r="E1720" s="3">
        <v>1</v>
      </c>
      <c r="F1720" s="3" t="s">
        <v>3220</v>
      </c>
      <c r="G1720" s="9">
        <v>36</v>
      </c>
      <c r="H1720" s="66">
        <v>1062</v>
      </c>
      <c r="I1720" s="9">
        <v>39.0122</v>
      </c>
      <c r="J1720" s="10">
        <v>1.0836722222222221</v>
      </c>
      <c r="K1720" s="66">
        <v>159.09021330608638</v>
      </c>
      <c r="L1720" s="69">
        <v>1221.0902133060863</v>
      </c>
      <c r="M1720" s="64">
        <v>0</v>
      </c>
      <c r="N1720" s="67">
        <v>0</v>
      </c>
      <c r="O1720" s="64">
        <f t="shared" si="52"/>
        <v>1221.0902133060863</v>
      </c>
      <c r="P1720" s="64">
        <f t="shared" si="53"/>
        <v>33.919172591835732</v>
      </c>
    </row>
    <row r="1721" spans="1:16" ht="15">
      <c r="A1721" s="3" t="str">
        <f>"059451"</f>
        <v>059451</v>
      </c>
      <c r="B1721" s="3" t="s">
        <v>2721</v>
      </c>
      <c r="C1721" s="61" t="s">
        <v>3293</v>
      </c>
      <c r="D1721" s="3" t="s">
        <v>3249</v>
      </c>
      <c r="E1721" s="3">
        <v>1</v>
      </c>
      <c r="F1721" s="3" t="s">
        <v>3220</v>
      </c>
      <c r="G1721" s="9">
        <v>305</v>
      </c>
      <c r="H1721" s="66">
        <v>8997.5</v>
      </c>
      <c r="I1721" s="9">
        <v>317.161</v>
      </c>
      <c r="J1721" s="10">
        <v>1.039872131147541</v>
      </c>
      <c r="K1721" s="66">
        <v>642.28672864196153</v>
      </c>
      <c r="L1721" s="69">
        <v>9639.7867286419623</v>
      </c>
      <c r="M1721" s="64">
        <v>0</v>
      </c>
      <c r="N1721" s="67">
        <v>0</v>
      </c>
      <c r="O1721" s="64">
        <f t="shared" si="52"/>
        <v>9639.7867286419623</v>
      </c>
      <c r="P1721" s="64">
        <f t="shared" si="53"/>
        <v>31.605858126694958</v>
      </c>
    </row>
    <row r="1722" spans="1:16" ht="15">
      <c r="A1722" s="3" t="str">
        <f>"143230"</f>
        <v>143230</v>
      </c>
      <c r="B1722" s="3" t="s">
        <v>2633</v>
      </c>
      <c r="C1722" s="61" t="s">
        <v>3293</v>
      </c>
      <c r="D1722" s="3" t="s">
        <v>3249</v>
      </c>
      <c r="E1722" s="3">
        <v>1</v>
      </c>
      <c r="F1722" s="3" t="s">
        <v>3220</v>
      </c>
      <c r="G1722" s="9">
        <v>29</v>
      </c>
      <c r="H1722" s="66">
        <v>855.5</v>
      </c>
      <c r="I1722" s="9">
        <v>31.7</v>
      </c>
      <c r="J1722" s="10">
        <v>1.0931034482758621</v>
      </c>
      <c r="K1722" s="66">
        <v>142.6012801030586</v>
      </c>
      <c r="L1722" s="69">
        <v>998.10128010305857</v>
      </c>
      <c r="M1722" s="64">
        <v>0</v>
      </c>
      <c r="N1722" s="67">
        <v>0</v>
      </c>
      <c r="O1722" s="64">
        <f t="shared" si="52"/>
        <v>998.10128010305857</v>
      </c>
      <c r="P1722" s="64">
        <f t="shared" si="53"/>
        <v>34.417285520795126</v>
      </c>
    </row>
    <row r="1723" spans="1:16" ht="15">
      <c r="A1723" s="19">
        <v>66308</v>
      </c>
      <c r="B1723" s="20" t="s">
        <v>1931</v>
      </c>
      <c r="C1723" s="61" t="s">
        <v>3293</v>
      </c>
      <c r="D1723" s="19" t="s">
        <v>1973</v>
      </c>
      <c r="E1723" s="19">
        <v>1</v>
      </c>
      <c r="F1723" s="19" t="s">
        <v>1974</v>
      </c>
      <c r="G1723" s="9">
        <v>25.72</v>
      </c>
      <c r="H1723" s="66">
        <v>758.74</v>
      </c>
      <c r="I1723" s="9">
        <v>110.73760899999999</v>
      </c>
      <c r="J1723" s="10">
        <v>4.3055057931570762</v>
      </c>
      <c r="K1723" s="66">
        <v>4490.2295832227101</v>
      </c>
      <c r="L1723" s="69">
        <v>5248.9695832227098</v>
      </c>
      <c r="M1723" s="64">
        <v>0</v>
      </c>
      <c r="N1723" s="67">
        <v>0</v>
      </c>
      <c r="O1723" s="64">
        <f t="shared" si="52"/>
        <v>5248.9695832227098</v>
      </c>
      <c r="P1723" s="64">
        <f t="shared" si="53"/>
        <v>204.08124351565746</v>
      </c>
    </row>
    <row r="1724" spans="1:16" ht="15">
      <c r="A1724" s="3" t="s">
        <v>873</v>
      </c>
      <c r="B1724" s="3" t="s">
        <v>1740</v>
      </c>
      <c r="C1724" s="61" t="s">
        <v>3356</v>
      </c>
      <c r="D1724" s="3" t="s">
        <v>3248</v>
      </c>
      <c r="E1724" s="3">
        <v>1</v>
      </c>
      <c r="F1724" s="3" t="s">
        <v>3223</v>
      </c>
      <c r="G1724" s="9">
        <v>842.64058299999999</v>
      </c>
      <c r="H1724" s="66">
        <v>24857.897198499999</v>
      </c>
      <c r="I1724" s="9">
        <v>993.63424678218496</v>
      </c>
      <c r="J1724" s="10">
        <v>1.1791910653586275</v>
      </c>
      <c r="K1724" s="66">
        <v>7974.7739788112658</v>
      </c>
      <c r="L1724" s="69">
        <v>32832.671177311262</v>
      </c>
      <c r="M1724" s="64">
        <v>452065.02345304319</v>
      </c>
      <c r="N1724" s="67">
        <v>9061.3277099252318</v>
      </c>
      <c r="O1724" s="64">
        <f t="shared" si="52"/>
        <v>41893.998887236492</v>
      </c>
      <c r="P1724" s="64">
        <f t="shared" si="53"/>
        <v>49.717518634200999</v>
      </c>
    </row>
    <row r="1725" spans="1:16" ht="15">
      <c r="A1725" s="3" t="s">
        <v>1662</v>
      </c>
      <c r="B1725" s="3" t="s">
        <v>1663</v>
      </c>
      <c r="C1725" s="61" t="s">
        <v>3356</v>
      </c>
      <c r="D1725" s="3" t="s">
        <v>3248</v>
      </c>
      <c r="E1725" s="3">
        <v>1</v>
      </c>
      <c r="F1725" s="3" t="s">
        <v>3224</v>
      </c>
      <c r="G1725" s="9">
        <v>907.61048900000003</v>
      </c>
      <c r="H1725" s="66">
        <v>26774.5094255</v>
      </c>
      <c r="I1725" s="9">
        <v>1112.7501104077601</v>
      </c>
      <c r="J1725" s="10">
        <v>1.226021651241362</v>
      </c>
      <c r="K1725" s="66">
        <v>10834.508375038293</v>
      </c>
      <c r="L1725" s="69">
        <v>37609.017800538291</v>
      </c>
      <c r="M1725" s="64">
        <v>771958.32653123024</v>
      </c>
      <c r="N1725" s="67">
        <v>15473.365582841929</v>
      </c>
      <c r="O1725" s="64">
        <f t="shared" si="52"/>
        <v>53082.38338338022</v>
      </c>
      <c r="P1725" s="64">
        <f t="shared" si="53"/>
        <v>58.485863734195142</v>
      </c>
    </row>
    <row r="1726" spans="1:16" ht="15">
      <c r="A1726" s="3" t="str">
        <f>"058651"</f>
        <v>058651</v>
      </c>
      <c r="B1726" s="3" t="s">
        <v>2758</v>
      </c>
      <c r="C1726" s="61" t="s">
        <v>3356</v>
      </c>
      <c r="D1726" s="3" t="s">
        <v>3249</v>
      </c>
      <c r="E1726" s="3">
        <v>1</v>
      </c>
      <c r="F1726" s="3" t="s">
        <v>3220</v>
      </c>
      <c r="G1726" s="9">
        <v>166</v>
      </c>
      <c r="H1726" s="66">
        <v>4897</v>
      </c>
      <c r="I1726" s="9">
        <v>175.01140000000001</v>
      </c>
      <c r="J1726" s="10">
        <v>1.0542855421686748</v>
      </c>
      <c r="K1726" s="66">
        <v>475.93969463729775</v>
      </c>
      <c r="L1726" s="69">
        <v>5372.9396946372981</v>
      </c>
      <c r="M1726" s="64">
        <v>0</v>
      </c>
      <c r="N1726" s="67">
        <v>0</v>
      </c>
      <c r="O1726" s="64">
        <f t="shared" si="52"/>
        <v>5372.9396946372981</v>
      </c>
      <c r="P1726" s="64">
        <f t="shared" si="53"/>
        <v>32.367106594200592</v>
      </c>
    </row>
    <row r="1727" spans="1:16" ht="15">
      <c r="A1727" s="3" t="str">
        <f>"059386"</f>
        <v>059386</v>
      </c>
      <c r="B1727" s="3" t="s">
        <v>2673</v>
      </c>
      <c r="C1727" s="61" t="s">
        <v>3356</v>
      </c>
      <c r="D1727" s="3" t="s">
        <v>3249</v>
      </c>
      <c r="E1727" s="3">
        <v>1</v>
      </c>
      <c r="F1727" s="3" t="s">
        <v>3220</v>
      </c>
      <c r="G1727" s="9">
        <v>132</v>
      </c>
      <c r="H1727" s="66">
        <v>3894</v>
      </c>
      <c r="I1727" s="9">
        <v>138.36179999999999</v>
      </c>
      <c r="J1727" s="10">
        <v>1.0481954545454544</v>
      </c>
      <c r="K1727" s="66">
        <v>336.00030509616175</v>
      </c>
      <c r="L1727" s="69">
        <v>4230.0003050961614</v>
      </c>
      <c r="M1727" s="64">
        <v>0</v>
      </c>
      <c r="N1727" s="67">
        <v>0</v>
      </c>
      <c r="O1727" s="64">
        <f t="shared" si="52"/>
        <v>4230.0003050961614</v>
      </c>
      <c r="P1727" s="64">
        <f t="shared" si="53"/>
        <v>32.045456856789102</v>
      </c>
    </row>
    <row r="1728" spans="1:16" ht="15">
      <c r="A1728" s="3" t="s">
        <v>944</v>
      </c>
      <c r="B1728" s="3" t="s">
        <v>945</v>
      </c>
      <c r="C1728" s="61" t="s">
        <v>3356</v>
      </c>
      <c r="D1728" s="3" t="s">
        <v>3248</v>
      </c>
      <c r="E1728" s="3">
        <v>1</v>
      </c>
      <c r="F1728" s="3" t="s">
        <v>1904</v>
      </c>
      <c r="G1728" s="9">
        <v>1551.8475800000001</v>
      </c>
      <c r="H1728" s="66">
        <v>45779.50361</v>
      </c>
      <c r="I1728" s="9">
        <v>1864.8777582181001</v>
      </c>
      <c r="J1728" s="10">
        <v>1.2017145125928539</v>
      </c>
      <c r="K1728" s="66">
        <v>16532.779305477641</v>
      </c>
      <c r="L1728" s="69">
        <v>62312.282915477641</v>
      </c>
      <c r="M1728" s="64">
        <v>1212713.333267662</v>
      </c>
      <c r="N1728" s="67">
        <v>24307.991905672137</v>
      </c>
      <c r="O1728" s="64">
        <f t="shared" si="52"/>
        <v>86620.274821149782</v>
      </c>
      <c r="P1728" s="64">
        <f t="shared" si="53"/>
        <v>55.817514514634084</v>
      </c>
    </row>
    <row r="1729" spans="1:16" ht="15">
      <c r="A1729" s="19">
        <v>66290</v>
      </c>
      <c r="B1729" s="20" t="s">
        <v>1932</v>
      </c>
      <c r="C1729" s="61" t="s">
        <v>3356</v>
      </c>
      <c r="D1729" s="19" t="s">
        <v>1973</v>
      </c>
      <c r="E1729" s="19">
        <v>1</v>
      </c>
      <c r="F1729" s="19" t="s">
        <v>1974</v>
      </c>
      <c r="G1729" s="9">
        <v>6</v>
      </c>
      <c r="H1729" s="66">
        <v>177</v>
      </c>
      <c r="I1729" s="9">
        <v>25.213200000000001</v>
      </c>
      <c r="J1729" s="10">
        <v>4.2022000000000004</v>
      </c>
      <c r="K1729" s="66">
        <v>1014.7507092133652</v>
      </c>
      <c r="L1729" s="69">
        <v>1191.7507092133651</v>
      </c>
      <c r="M1729" s="64">
        <v>0</v>
      </c>
      <c r="N1729" s="67">
        <v>0</v>
      </c>
      <c r="O1729" s="64">
        <f t="shared" si="52"/>
        <v>1191.7507092133651</v>
      </c>
      <c r="P1729" s="64">
        <f t="shared" si="53"/>
        <v>198.62511820222753</v>
      </c>
    </row>
    <row r="1730" spans="1:16" ht="15">
      <c r="A1730" s="4"/>
      <c r="B1730" s="4"/>
      <c r="C1730" s="4"/>
      <c r="D1730" s="4"/>
      <c r="E1730" s="4"/>
      <c r="F1730" s="4"/>
      <c r="G1730" s="4"/>
      <c r="H1730" s="67"/>
      <c r="I1730" s="5"/>
      <c r="J1730" s="5"/>
    </row>
    <row r="1731" spans="1:16" s="77" customFormat="1" ht="15">
      <c r="A1731" s="73"/>
      <c r="B1731" s="73"/>
      <c r="C1731" s="73"/>
      <c r="D1731" s="73"/>
      <c r="E1731" s="73"/>
      <c r="F1731" s="73"/>
      <c r="G1731" s="74">
        <f>SUM(G3:G1729)-24174.2253</f>
        <v>1844223.7041050007</v>
      </c>
      <c r="H1731" s="75">
        <f>SUM(H3:H1729)</f>
        <v>54547227.199612349</v>
      </c>
      <c r="I1731" s="74">
        <f>SUM(I3:I1729)-31135.33337</f>
        <v>2311943.8141685086</v>
      </c>
      <c r="J1731" s="76">
        <f>I1731/G1731</f>
        <v>1.2536135442909795</v>
      </c>
      <c r="K1731" s="75">
        <f>SUM(K3:K1729)</f>
        <v>24702772.751605313</v>
      </c>
      <c r="L1731" s="75">
        <f t="shared" ref="L1731:O1731" si="54">SUM(L3:L1729)</f>
        <v>79249999.951217532</v>
      </c>
      <c r="M1731" s="75">
        <f>SUM(M3:M1729)</f>
        <v>1035206929.5955355</v>
      </c>
      <c r="N1731" s="75">
        <f t="shared" si="54"/>
        <v>20749999.999999981</v>
      </c>
      <c r="O1731" s="75">
        <f t="shared" si="54"/>
        <v>99999999.951217547</v>
      </c>
      <c r="P1731" s="75">
        <f>O1731/G1731</f>
        <v>54.223356813292568</v>
      </c>
    </row>
    <row r="1732" spans="1:16" ht="15">
      <c r="A1732" s="4"/>
      <c r="B1732" s="4"/>
      <c r="C1732" s="4"/>
      <c r="D1732" s="4"/>
      <c r="E1732" s="4"/>
      <c r="F1732" s="4"/>
      <c r="G1732" s="4"/>
      <c r="H1732" s="67"/>
      <c r="I1732" s="49"/>
      <c r="J1732" s="5"/>
    </row>
    <row r="1733" spans="1:16" ht="15">
      <c r="A1733" s="4"/>
      <c r="B1733" s="4"/>
      <c r="C1733" s="4"/>
      <c r="D1733" s="4"/>
      <c r="E1733" s="4"/>
      <c r="F1733" s="4"/>
      <c r="G1733" s="4"/>
      <c r="H1733" s="67"/>
      <c r="I1733" s="5"/>
      <c r="J1733" s="5"/>
      <c r="L1733" s="64"/>
    </row>
  </sheetData>
  <autoFilter ref="A2:P1729" xr:uid="{2FC5154B-0A49-4460-9097-5E3BACEDFD36}">
    <sortState xmlns:xlrd2="http://schemas.microsoft.com/office/spreadsheetml/2017/richdata2" ref="A3:P1729">
      <sortCondition ref="C2:C1729"/>
    </sortState>
  </autoFilter>
  <sortState xmlns:xlrd2="http://schemas.microsoft.com/office/spreadsheetml/2017/richdata2" ref="A3:G1729">
    <sortCondition ref="G3:G1729"/>
    <sortCondition ref="B3:B1729"/>
  </sortState>
  <pageMargins left="0.7" right="0.7" top="0.75" bottom="0.75" header="0.3" footer="0.3"/>
  <pageSetup orientation="portrait" horizontalDpi="4294967294" verticalDpi="4294967294"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A184D-4B6A-4DEB-B80F-BD361062F753}">
  <dimension ref="A1:S609"/>
  <sheetViews>
    <sheetView workbookViewId="0">
      <selection activeCell="F616" sqref="F616"/>
    </sheetView>
  </sheetViews>
  <sheetFormatPr baseColWidth="10" defaultColWidth="8.796875" defaultRowHeight="15"/>
  <cols>
    <col min="1" max="1" width="7" style="19" bestFit="1" customWidth="1"/>
    <col min="2" max="2" width="28.59765625" style="19" bestFit="1" customWidth="1"/>
    <col min="3" max="3" width="28.59765625" style="19" customWidth="1"/>
    <col min="4" max="4" width="13.59765625" style="19" bestFit="1" customWidth="1"/>
    <col min="5" max="5" width="12" style="19" bestFit="1" customWidth="1"/>
    <col min="6" max="7" width="14" style="20" bestFit="1" customWidth="1"/>
    <col min="8" max="8" width="12.796875" style="20" customWidth="1"/>
    <col min="9" max="9" width="11.3984375" style="20" bestFit="1" customWidth="1"/>
    <col min="10" max="10" width="12.796875" style="20" bestFit="1" customWidth="1"/>
    <col min="11" max="11" width="16.3984375" style="20" bestFit="1" customWidth="1"/>
    <col min="12" max="12" width="14" style="20" bestFit="1" customWidth="1"/>
    <col min="13" max="14" width="8.796875" style="19"/>
    <col min="15" max="15" width="27.3984375" style="19" bestFit="1" customWidth="1"/>
    <col min="16" max="16" width="23.19921875" style="19" customWidth="1"/>
    <col min="17" max="17" width="8" style="19" bestFit="1" customWidth="1"/>
    <col min="18" max="18" width="17.59765625" style="19" customWidth="1"/>
    <col min="19" max="19" width="8" style="19" bestFit="1" customWidth="1"/>
    <col min="20" max="16384" width="8.796875" style="19"/>
  </cols>
  <sheetData>
    <row r="1" spans="1:19" ht="64">
      <c r="A1" s="22" t="s">
        <v>2</v>
      </c>
      <c r="B1" s="22" t="s">
        <v>2553</v>
      </c>
      <c r="C1" s="22" t="s">
        <v>1896</v>
      </c>
      <c r="D1" s="21" t="s">
        <v>2555</v>
      </c>
      <c r="E1" s="18" t="s">
        <v>2552</v>
      </c>
      <c r="F1" s="21" t="s">
        <v>2551</v>
      </c>
      <c r="G1" s="21" t="s">
        <v>2550</v>
      </c>
      <c r="H1" s="21" t="s">
        <v>2549</v>
      </c>
      <c r="I1" s="21" t="s">
        <v>2548</v>
      </c>
      <c r="J1" s="21" t="s">
        <v>2547</v>
      </c>
      <c r="K1" s="21" t="s">
        <v>2546</v>
      </c>
      <c r="L1" s="21" t="s">
        <v>2545</v>
      </c>
      <c r="O1" s="26" t="s">
        <v>1898</v>
      </c>
      <c r="P1" s="26" t="s">
        <v>2557</v>
      </c>
      <c r="Q1" s="26" t="s">
        <v>2558</v>
      </c>
      <c r="R1" s="26" t="s">
        <v>2556</v>
      </c>
      <c r="S1" s="19" t="s">
        <v>2558</v>
      </c>
    </row>
    <row r="2" spans="1:19">
      <c r="A2" s="23" t="s">
        <v>543</v>
      </c>
      <c r="B2" s="19" t="s">
        <v>2039</v>
      </c>
      <c r="C2" s="19">
        <f>VLOOKUP(A2,'Distribution Detail'!$A$2:$F$558,5,FALSE)</f>
        <v>1</v>
      </c>
      <c r="D2" s="25">
        <v>239508.35</v>
      </c>
      <c r="E2" s="19">
        <v>0.38959120600000002</v>
      </c>
      <c r="F2" s="20">
        <v>149625.20000000001</v>
      </c>
      <c r="G2" s="20">
        <f>(F2/(IF(E2&lt;0.25,0.25,E2)))/0.920346</f>
        <v>417296.23804800474</v>
      </c>
      <c r="H2" s="20">
        <v>0</v>
      </c>
      <c r="I2" s="20">
        <v>0</v>
      </c>
      <c r="J2" s="20">
        <v>0</v>
      </c>
      <c r="K2" s="20">
        <v>97662.346552274903</v>
      </c>
      <c r="L2" s="20">
        <f t="shared" ref="L2:L65" si="0">SUM(G2:K2)</f>
        <v>514958.58460027963</v>
      </c>
      <c r="O2" s="19" t="s">
        <v>1901</v>
      </c>
      <c r="P2" s="24">
        <v>0</v>
      </c>
      <c r="Q2" s="24"/>
      <c r="R2" s="24">
        <v>0</v>
      </c>
    </row>
    <row r="3" spans="1:19">
      <c r="A3" s="23" t="s">
        <v>545</v>
      </c>
      <c r="B3" s="19" t="s">
        <v>2544</v>
      </c>
      <c r="C3" s="19" t="e">
        <f>VLOOKUP(A3,'Distribution Detail'!$A$2:$F$558,5,FALSE)</f>
        <v>#N/A</v>
      </c>
      <c r="D3" s="25">
        <v>4130820.03</v>
      </c>
      <c r="E3" s="19">
        <v>0.72358682699999999</v>
      </c>
      <c r="F3" s="20">
        <v>3105340.98</v>
      </c>
      <c r="G3" s="20">
        <f t="shared" ref="G3:G66" si="1">(F3/(IF(E3&lt;0.25,0.25,E3))/0.920346)/0.920346</f>
        <v>5066597.2659892049</v>
      </c>
      <c r="H3" s="20">
        <v>978900.26142342109</v>
      </c>
      <c r="I3" s="20">
        <v>0</v>
      </c>
      <c r="J3" s="20">
        <v>135331.83172415593</v>
      </c>
      <c r="K3" s="20">
        <v>0</v>
      </c>
      <c r="L3" s="20">
        <f t="shared" si="0"/>
        <v>6180829.3591367817</v>
      </c>
      <c r="O3" s="19" t="s">
        <v>1902</v>
      </c>
      <c r="P3" s="24">
        <v>80270349.110000029</v>
      </c>
      <c r="Q3" s="29">
        <f>P3/$P$11</f>
        <v>0.17231991632504817</v>
      </c>
      <c r="R3" s="24">
        <v>159055463.90542418</v>
      </c>
      <c r="S3" s="29">
        <f>R3/$R$11</f>
        <v>0.15385520580773368</v>
      </c>
    </row>
    <row r="4" spans="1:19">
      <c r="A4" s="23" t="s">
        <v>547</v>
      </c>
      <c r="B4" s="19" t="s">
        <v>2543</v>
      </c>
      <c r="C4" s="19" t="e">
        <f>VLOOKUP(A4,'Distribution Detail'!$A$2:$F$558,5,FALSE)</f>
        <v>#N/A</v>
      </c>
      <c r="D4" s="25">
        <v>1295395.03</v>
      </c>
      <c r="E4" s="19">
        <v>0.78399597799999998</v>
      </c>
      <c r="F4" s="20">
        <v>1295395.03</v>
      </c>
      <c r="G4" s="20">
        <f t="shared" si="1"/>
        <v>1950680.4593619439</v>
      </c>
      <c r="H4" s="20">
        <v>0</v>
      </c>
      <c r="I4" s="20">
        <v>0</v>
      </c>
      <c r="J4" s="20">
        <v>0</v>
      </c>
      <c r="K4" s="20">
        <v>0</v>
      </c>
      <c r="L4" s="20">
        <f t="shared" si="0"/>
        <v>1950680.4593619439</v>
      </c>
      <c r="O4" s="19" t="s">
        <v>1903</v>
      </c>
      <c r="P4" s="24">
        <v>49789795.510000013</v>
      </c>
      <c r="Q4" s="29">
        <f t="shared" ref="Q4:Q11" si="2">P4/$P$11</f>
        <v>0.10688596089655725</v>
      </c>
      <c r="R4" s="24">
        <v>99214004.511320159</v>
      </c>
      <c r="S4" s="29">
        <f t="shared" ref="S4:S11" si="3">R4/$R$11</f>
        <v>9.597024024383749E-2</v>
      </c>
    </row>
    <row r="5" spans="1:19">
      <c r="A5" s="23" t="s">
        <v>549</v>
      </c>
      <c r="B5" s="19" t="s">
        <v>2542</v>
      </c>
      <c r="C5" s="19">
        <f>VLOOKUP(A5,'Distribution Detail'!$A$2:$F$558,5,FALSE)</f>
        <v>1</v>
      </c>
      <c r="D5" s="25">
        <v>601073.68999999994</v>
      </c>
      <c r="E5" s="19">
        <v>0.49391194700000002</v>
      </c>
      <c r="F5" s="20">
        <v>566792.99</v>
      </c>
      <c r="G5" s="20">
        <f t="shared" si="1"/>
        <v>1354792.1789115316</v>
      </c>
      <c r="H5" s="20">
        <v>0</v>
      </c>
      <c r="I5" s="20">
        <v>0</v>
      </c>
      <c r="J5" s="20">
        <v>0</v>
      </c>
      <c r="K5" s="20">
        <v>37247.622089953125</v>
      </c>
      <c r="L5" s="20">
        <f t="shared" si="0"/>
        <v>1392039.8010014847</v>
      </c>
      <c r="O5" s="19" t="s">
        <v>1904</v>
      </c>
      <c r="P5" s="24">
        <v>53034429.410000011</v>
      </c>
      <c r="Q5" s="29">
        <f t="shared" si="2"/>
        <v>0.11385136030434131</v>
      </c>
      <c r="R5" s="24">
        <v>128410373.45311573</v>
      </c>
      <c r="S5" s="29">
        <f t="shared" si="3"/>
        <v>0.1242120449708318</v>
      </c>
    </row>
    <row r="6" spans="1:19">
      <c r="A6" s="23" t="s">
        <v>551</v>
      </c>
      <c r="B6" s="19" t="s">
        <v>2541</v>
      </c>
      <c r="C6" s="19">
        <f>VLOOKUP(A6,'Distribution Detail'!$A$2:$F$558,5,FALSE)</f>
        <v>1</v>
      </c>
      <c r="D6" s="25">
        <v>1303743.31</v>
      </c>
      <c r="E6" s="19">
        <v>0.64071751099999996</v>
      </c>
      <c r="F6" s="20">
        <v>1303743.31</v>
      </c>
      <c r="G6" s="20">
        <f t="shared" si="1"/>
        <v>2402277.8730601943</v>
      </c>
      <c r="H6" s="20">
        <v>0</v>
      </c>
      <c r="I6" s="20">
        <v>0</v>
      </c>
      <c r="J6" s="20">
        <v>0</v>
      </c>
      <c r="K6" s="20">
        <v>0</v>
      </c>
      <c r="L6" s="20">
        <f t="shared" si="0"/>
        <v>2402277.8730601943</v>
      </c>
      <c r="O6" s="19" t="s">
        <v>1905</v>
      </c>
      <c r="P6" s="24">
        <v>50784183.369999997</v>
      </c>
      <c r="Q6" s="29">
        <f t="shared" si="2"/>
        <v>0.10902065739071382</v>
      </c>
      <c r="R6" s="24">
        <v>103751828.27139565</v>
      </c>
      <c r="S6" s="29">
        <f t="shared" si="3"/>
        <v>0.10035970157627418</v>
      </c>
    </row>
    <row r="7" spans="1:19">
      <c r="A7" s="23" t="s">
        <v>553</v>
      </c>
      <c r="B7" s="19" t="s">
        <v>2540</v>
      </c>
      <c r="C7" s="19">
        <f>VLOOKUP(A7,'Distribution Detail'!$A$2:$F$558,5,FALSE)</f>
        <v>1</v>
      </c>
      <c r="D7" s="25">
        <v>607932.18000000005</v>
      </c>
      <c r="E7" s="19">
        <v>0.33386345899999997</v>
      </c>
      <c r="F7" s="20">
        <v>444199.63</v>
      </c>
      <c r="G7" s="20">
        <f t="shared" si="1"/>
        <v>1570749.9176426947</v>
      </c>
      <c r="H7" s="20">
        <v>0</v>
      </c>
      <c r="I7" s="20">
        <v>0</v>
      </c>
      <c r="J7" s="20">
        <v>0</v>
      </c>
      <c r="K7" s="20">
        <v>177903.25594939294</v>
      </c>
      <c r="L7" s="20">
        <f t="shared" si="0"/>
        <v>1748653.1735920876</v>
      </c>
      <c r="O7" s="19" t="s">
        <v>1906</v>
      </c>
      <c r="P7" s="24">
        <v>59854159.489999995</v>
      </c>
      <c r="Q7" s="29">
        <f t="shared" si="2"/>
        <v>0.12849157714374471</v>
      </c>
      <c r="R7" s="24">
        <v>182921413.95287275</v>
      </c>
      <c r="S7" s="29">
        <f t="shared" si="3"/>
        <v>0.17694086766547806</v>
      </c>
    </row>
    <row r="8" spans="1:19">
      <c r="A8" s="23" t="s">
        <v>555</v>
      </c>
      <c r="B8" s="19" t="s">
        <v>2539</v>
      </c>
      <c r="C8" s="19" t="e">
        <f>VLOOKUP(A8,'Distribution Detail'!$A$2:$F$558,5,FALSE)</f>
        <v>#N/A</v>
      </c>
      <c r="D8" s="25">
        <v>890753.2</v>
      </c>
      <c r="E8" s="19">
        <v>0.73839548399999999</v>
      </c>
      <c r="F8" s="20">
        <v>890753.2</v>
      </c>
      <c r="G8" s="20">
        <f t="shared" si="1"/>
        <v>1424183.9956698339</v>
      </c>
      <c r="H8" s="20">
        <v>0</v>
      </c>
      <c r="I8" s="20">
        <v>0</v>
      </c>
      <c r="J8" s="20">
        <v>0</v>
      </c>
      <c r="K8" s="20">
        <v>0</v>
      </c>
      <c r="L8" s="20">
        <f t="shared" si="0"/>
        <v>1424183.9956698339</v>
      </c>
      <c r="O8" s="19" t="s">
        <v>1907</v>
      </c>
      <c r="P8" s="24">
        <v>39080903.68</v>
      </c>
      <c r="Q8" s="29">
        <f t="shared" si="2"/>
        <v>8.3896708145821411E-2</v>
      </c>
      <c r="R8" s="24">
        <v>137307947.53598163</v>
      </c>
      <c r="S8" s="29">
        <f t="shared" si="3"/>
        <v>0.13281871624194808</v>
      </c>
    </row>
    <row r="9" spans="1:19">
      <c r="A9" s="23" t="s">
        <v>557</v>
      </c>
      <c r="B9" s="19" t="s">
        <v>2538</v>
      </c>
      <c r="C9" s="19">
        <f>VLOOKUP(A9,'Distribution Detail'!$A$2:$F$558,5,FALSE)</f>
        <v>1</v>
      </c>
      <c r="D9" s="25">
        <v>204321.44</v>
      </c>
      <c r="E9" s="19">
        <v>0.21196511500000001</v>
      </c>
      <c r="F9" s="20">
        <v>204321.44</v>
      </c>
      <c r="G9" s="20">
        <f t="shared" si="1"/>
        <v>964876.3771173578</v>
      </c>
      <c r="H9" s="20">
        <v>0</v>
      </c>
      <c r="I9" s="20">
        <v>0</v>
      </c>
      <c r="J9" s="20">
        <v>0</v>
      </c>
      <c r="K9" s="20">
        <v>0</v>
      </c>
      <c r="L9" s="20">
        <f t="shared" si="0"/>
        <v>964876.3771173578</v>
      </c>
      <c r="O9" s="19" t="s">
        <v>1909</v>
      </c>
      <c r="P9" s="24">
        <v>49811416.690000013</v>
      </c>
      <c r="Q9" s="29">
        <f t="shared" si="2"/>
        <v>0.10693237604199711</v>
      </c>
      <c r="R9" s="24">
        <v>89451120.071830109</v>
      </c>
      <c r="S9" s="29">
        <f t="shared" si="3"/>
        <v>8.6526549610185272E-2</v>
      </c>
    </row>
    <row r="10" spans="1:19">
      <c r="A10" s="23" t="s">
        <v>559</v>
      </c>
      <c r="B10" s="19" t="s">
        <v>2537</v>
      </c>
      <c r="C10" s="19">
        <f>VLOOKUP(A10,'Distribution Detail'!$A$2:$F$558,5,FALSE)</f>
        <v>1</v>
      </c>
      <c r="D10" s="25">
        <v>192230.18</v>
      </c>
      <c r="E10" s="19">
        <v>0.05</v>
      </c>
      <c r="F10" s="20">
        <v>192230.18</v>
      </c>
      <c r="G10" s="20">
        <f t="shared" si="1"/>
        <v>907777.27315849764</v>
      </c>
      <c r="H10" s="20">
        <v>0</v>
      </c>
      <c r="I10" s="20">
        <v>0</v>
      </c>
      <c r="J10" s="20">
        <v>0</v>
      </c>
      <c r="K10" s="20">
        <v>0</v>
      </c>
      <c r="L10" s="20">
        <f t="shared" si="0"/>
        <v>907777.27315849764</v>
      </c>
      <c r="O10" s="19" t="s">
        <v>1908</v>
      </c>
      <c r="P10" s="24">
        <v>83196420.63000001</v>
      </c>
      <c r="Q10" s="29">
        <f t="shared" si="2"/>
        <v>0.17860144375177628</v>
      </c>
      <c r="R10" s="24">
        <v>133687537.23539115</v>
      </c>
      <c r="S10" s="29">
        <f t="shared" si="3"/>
        <v>0.12931667388371137</v>
      </c>
    </row>
    <row r="11" spans="1:19">
      <c r="A11" s="23" t="s">
        <v>561</v>
      </c>
      <c r="B11" s="19" t="s">
        <v>2536</v>
      </c>
      <c r="C11" s="19">
        <f>VLOOKUP(A11,'Distribution Detail'!$A$2:$F$558,5,FALSE)</f>
        <v>1</v>
      </c>
      <c r="D11" s="25">
        <v>554882.88</v>
      </c>
      <c r="E11" s="19">
        <v>0.366198939</v>
      </c>
      <c r="F11" s="20">
        <v>554882.88</v>
      </c>
      <c r="G11" s="20">
        <f t="shared" si="1"/>
        <v>1788883.2006865949</v>
      </c>
      <c r="H11" s="20">
        <v>0</v>
      </c>
      <c r="I11" s="20">
        <v>0</v>
      </c>
      <c r="J11" s="20">
        <v>0</v>
      </c>
      <c r="K11" s="20">
        <v>0</v>
      </c>
      <c r="L11" s="20">
        <f t="shared" si="0"/>
        <v>1788883.2006865949</v>
      </c>
      <c r="O11" s="27" t="s">
        <v>1899</v>
      </c>
      <c r="P11" s="28">
        <v>465821657.89000005</v>
      </c>
      <c r="Q11" s="30">
        <f t="shared" si="2"/>
        <v>1</v>
      </c>
      <c r="R11" s="28">
        <v>1033799688.9373314</v>
      </c>
      <c r="S11" s="30">
        <f t="shared" si="3"/>
        <v>1</v>
      </c>
    </row>
    <row r="12" spans="1:19">
      <c r="A12" s="23" t="s">
        <v>563</v>
      </c>
      <c r="B12" s="19" t="s">
        <v>2535</v>
      </c>
      <c r="C12" s="19">
        <f>VLOOKUP(A12,'Distribution Detail'!$A$2:$F$558,5,FALSE)</f>
        <v>1</v>
      </c>
      <c r="D12" s="25">
        <v>669284.27</v>
      </c>
      <c r="E12" s="19">
        <v>0.56696613600000001</v>
      </c>
      <c r="F12" s="20">
        <v>562208.81999999995</v>
      </c>
      <c r="G12" s="20">
        <f t="shared" si="1"/>
        <v>1170680.208907323</v>
      </c>
      <c r="H12" s="20">
        <v>0</v>
      </c>
      <c r="I12" s="20">
        <v>0</v>
      </c>
      <c r="J12" s="20">
        <v>0</v>
      </c>
      <c r="K12" s="20">
        <v>116342.60375989031</v>
      </c>
      <c r="L12" s="20">
        <f t="shared" si="0"/>
        <v>1287022.8126672134</v>
      </c>
    </row>
    <row r="13" spans="1:19">
      <c r="A13" s="23" t="s">
        <v>565</v>
      </c>
      <c r="B13" s="19" t="s">
        <v>2534</v>
      </c>
      <c r="C13" s="19" t="e">
        <f>VLOOKUP(A13,'Distribution Detail'!$A$2:$F$558,5,FALSE)</f>
        <v>#N/A</v>
      </c>
      <c r="D13" s="25">
        <v>679329.91</v>
      </c>
      <c r="E13" s="19">
        <v>0.64039869900000002</v>
      </c>
      <c r="F13" s="20">
        <v>679329.91</v>
      </c>
      <c r="G13" s="20">
        <f t="shared" si="1"/>
        <v>1252356.6816995707</v>
      </c>
      <c r="H13" s="20">
        <v>0</v>
      </c>
      <c r="I13" s="20">
        <v>0</v>
      </c>
      <c r="J13" s="20">
        <v>0</v>
      </c>
      <c r="K13" s="20">
        <v>0</v>
      </c>
      <c r="L13" s="20">
        <f t="shared" si="0"/>
        <v>1252356.6816995707</v>
      </c>
    </row>
    <row r="14" spans="1:19">
      <c r="A14" s="23" t="s">
        <v>566</v>
      </c>
      <c r="B14" s="19" t="s">
        <v>2533</v>
      </c>
      <c r="C14" s="19" t="e">
        <f>VLOOKUP(A14,'Distribution Detail'!$A$2:$F$558,5,FALSE)</f>
        <v>#N/A</v>
      </c>
      <c r="D14" s="25">
        <v>658640.57999999996</v>
      </c>
      <c r="E14" s="19">
        <v>0.48410693799999999</v>
      </c>
      <c r="F14" s="20">
        <v>482388.47</v>
      </c>
      <c r="G14" s="20">
        <f t="shared" si="1"/>
        <v>1176395.4977862327</v>
      </c>
      <c r="H14" s="20">
        <v>0</v>
      </c>
      <c r="I14" s="20">
        <v>0</v>
      </c>
      <c r="J14" s="20">
        <v>0</v>
      </c>
      <c r="K14" s="20">
        <v>191506.3573916766</v>
      </c>
      <c r="L14" s="20">
        <f t="shared" si="0"/>
        <v>1367901.8551779094</v>
      </c>
    </row>
    <row r="15" spans="1:19">
      <c r="A15" s="23" t="s">
        <v>568</v>
      </c>
      <c r="B15" s="19" t="s">
        <v>2532</v>
      </c>
      <c r="C15" s="19" t="e">
        <f>VLOOKUP(A15,'Distribution Detail'!$A$2:$F$558,5,FALSE)</f>
        <v>#N/A</v>
      </c>
      <c r="D15" s="25">
        <v>168740.98</v>
      </c>
      <c r="E15" s="19">
        <v>0.45557536599999998</v>
      </c>
      <c r="F15" s="20">
        <v>168740.98</v>
      </c>
      <c r="G15" s="20">
        <f t="shared" si="1"/>
        <v>437278.45111038245</v>
      </c>
      <c r="H15" s="20">
        <v>0</v>
      </c>
      <c r="I15" s="20">
        <v>0</v>
      </c>
      <c r="J15" s="20">
        <v>0</v>
      </c>
      <c r="K15" s="20">
        <v>0</v>
      </c>
      <c r="L15" s="20">
        <f t="shared" si="0"/>
        <v>437278.45111038245</v>
      </c>
    </row>
    <row r="16" spans="1:19">
      <c r="A16" s="23" t="s">
        <v>570</v>
      </c>
      <c r="B16" s="19" t="s">
        <v>2531</v>
      </c>
      <c r="C16" s="19">
        <f>VLOOKUP(A16,'Distribution Detail'!$A$2:$F$558,5,FALSE)</f>
        <v>1</v>
      </c>
      <c r="D16" s="25">
        <v>1036058.72</v>
      </c>
      <c r="E16" s="19">
        <v>0.29017238299999998</v>
      </c>
      <c r="F16" s="20">
        <v>1036058.72</v>
      </c>
      <c r="G16" s="20">
        <f t="shared" si="1"/>
        <v>4215276.1933351969</v>
      </c>
      <c r="H16" s="20">
        <v>0</v>
      </c>
      <c r="I16" s="20">
        <v>0</v>
      </c>
      <c r="J16" s="20">
        <v>0</v>
      </c>
      <c r="K16" s="20">
        <v>0</v>
      </c>
      <c r="L16" s="20">
        <f t="shared" si="0"/>
        <v>4215276.1933351969</v>
      </c>
    </row>
    <row r="17" spans="1:12">
      <c r="A17" s="23" t="s">
        <v>572</v>
      </c>
      <c r="B17" s="19" t="s">
        <v>2530</v>
      </c>
      <c r="C17" s="19">
        <f>VLOOKUP(A17,'Distribution Detail'!$A$2:$F$558,5,FALSE)</f>
        <v>1</v>
      </c>
      <c r="D17" s="25">
        <v>53655.01</v>
      </c>
      <c r="E17" s="19">
        <v>0.241778723</v>
      </c>
      <c r="F17" s="20">
        <v>53655.01</v>
      </c>
      <c r="G17" s="20">
        <f t="shared" si="1"/>
        <v>253377.48042004602</v>
      </c>
      <c r="H17" s="20">
        <v>0</v>
      </c>
      <c r="I17" s="20">
        <v>0</v>
      </c>
      <c r="J17" s="20">
        <v>0</v>
      </c>
      <c r="K17" s="20">
        <v>0</v>
      </c>
      <c r="L17" s="20">
        <f t="shared" si="0"/>
        <v>253377.48042004602</v>
      </c>
    </row>
    <row r="18" spans="1:12">
      <c r="A18" s="23" t="s">
        <v>574</v>
      </c>
      <c r="B18" s="19" t="s">
        <v>2529</v>
      </c>
      <c r="C18" s="19" t="e">
        <f>VLOOKUP(A18,'Distribution Detail'!$A$2:$F$558,5,FALSE)</f>
        <v>#N/A</v>
      </c>
      <c r="D18" s="25">
        <v>609494.52</v>
      </c>
      <c r="E18" s="19">
        <v>0.32552550400000002</v>
      </c>
      <c r="F18" s="20">
        <v>436520.54</v>
      </c>
      <c r="G18" s="20">
        <f t="shared" si="1"/>
        <v>1583133.0138247928</v>
      </c>
      <c r="H18" s="20">
        <v>0</v>
      </c>
      <c r="I18" s="20">
        <v>0</v>
      </c>
      <c r="J18" s="20">
        <v>0</v>
      </c>
      <c r="K18" s="20">
        <v>187944.51217259598</v>
      </c>
      <c r="L18" s="20">
        <f t="shared" si="0"/>
        <v>1771077.5259973889</v>
      </c>
    </row>
    <row r="19" spans="1:12">
      <c r="A19" s="23" t="s">
        <v>575</v>
      </c>
      <c r="B19" s="19" t="s">
        <v>2528</v>
      </c>
      <c r="C19" s="19">
        <f>VLOOKUP(A19,'Distribution Detail'!$A$2:$F$558,5,FALSE)</f>
        <v>1</v>
      </c>
      <c r="D19" s="25">
        <v>502640.08</v>
      </c>
      <c r="E19" s="19">
        <v>5.9288117000000001E-2</v>
      </c>
      <c r="F19" s="20">
        <v>502640.08</v>
      </c>
      <c r="G19" s="20">
        <f t="shared" si="1"/>
        <v>2373639.9830794996</v>
      </c>
      <c r="H19" s="20">
        <v>0</v>
      </c>
      <c r="I19" s="20">
        <v>0</v>
      </c>
      <c r="J19" s="20">
        <v>0</v>
      </c>
      <c r="K19" s="20">
        <v>0</v>
      </c>
      <c r="L19" s="20">
        <f t="shared" si="0"/>
        <v>2373639.9830794996</v>
      </c>
    </row>
    <row r="20" spans="1:12">
      <c r="A20" s="23" t="s">
        <v>577</v>
      </c>
      <c r="B20" s="19" t="s">
        <v>2527</v>
      </c>
      <c r="C20" s="19">
        <f>VLOOKUP(A20,'Distribution Detail'!$A$2:$F$558,5,FALSE)</f>
        <v>1</v>
      </c>
      <c r="D20" s="25">
        <v>22034.17</v>
      </c>
      <c r="E20" s="19">
        <v>0.29895088199999997</v>
      </c>
      <c r="F20" s="20">
        <v>22034.17</v>
      </c>
      <c r="G20" s="20">
        <f t="shared" si="1"/>
        <v>87015.094964343501</v>
      </c>
      <c r="H20" s="20">
        <v>0</v>
      </c>
      <c r="I20" s="20">
        <v>0</v>
      </c>
      <c r="J20" s="20">
        <v>0</v>
      </c>
      <c r="K20" s="20">
        <v>0</v>
      </c>
      <c r="L20" s="20">
        <f t="shared" si="0"/>
        <v>87015.094964343501</v>
      </c>
    </row>
    <row r="21" spans="1:12">
      <c r="A21" s="23" t="s">
        <v>579</v>
      </c>
      <c r="B21" s="19" t="s">
        <v>2526</v>
      </c>
      <c r="C21" s="19" t="e">
        <f>VLOOKUP(A21,'Distribution Detail'!$A$2:$F$558,5,FALSE)</f>
        <v>#N/A</v>
      </c>
      <c r="D21" s="25">
        <v>1590119.83</v>
      </c>
      <c r="E21" s="19">
        <v>0.46910602200000001</v>
      </c>
      <c r="F21" s="20">
        <v>1588720.37</v>
      </c>
      <c r="G21" s="20">
        <f t="shared" si="1"/>
        <v>3998289.1423786115</v>
      </c>
      <c r="H21" s="20">
        <v>0</v>
      </c>
      <c r="I21" s="20">
        <v>0</v>
      </c>
      <c r="J21" s="20">
        <v>1520.5803034945554</v>
      </c>
      <c r="K21" s="20">
        <v>0</v>
      </c>
      <c r="L21" s="20">
        <f t="shared" si="0"/>
        <v>3999809.7226821058</v>
      </c>
    </row>
    <row r="22" spans="1:12">
      <c r="A22" s="23" t="s">
        <v>581</v>
      </c>
      <c r="B22" s="19" t="s">
        <v>2525</v>
      </c>
      <c r="C22" s="19" t="e">
        <f>VLOOKUP(A22,'Distribution Detail'!$A$2:$F$558,5,FALSE)</f>
        <v>#N/A</v>
      </c>
      <c r="D22" s="25">
        <v>444427.73</v>
      </c>
      <c r="E22" s="19">
        <v>0.50513418499999996</v>
      </c>
      <c r="F22" s="20">
        <v>388332.55</v>
      </c>
      <c r="G22" s="20">
        <f t="shared" si="1"/>
        <v>907600.60333501128</v>
      </c>
      <c r="H22" s="20">
        <v>0</v>
      </c>
      <c r="I22" s="20">
        <v>506.86372299113594</v>
      </c>
      <c r="J22" s="20">
        <v>0</v>
      </c>
      <c r="K22" s="20">
        <v>60443.235478830793</v>
      </c>
      <c r="L22" s="20">
        <f t="shared" si="0"/>
        <v>968550.70253683312</v>
      </c>
    </row>
    <row r="23" spans="1:12">
      <c r="A23" s="23" t="s">
        <v>583</v>
      </c>
      <c r="B23" s="19" t="s">
        <v>2524</v>
      </c>
      <c r="C23" s="19">
        <f>VLOOKUP(A23,'Distribution Detail'!$A$2:$F$558,5,FALSE)</f>
        <v>1</v>
      </c>
      <c r="D23" s="25">
        <v>264194.53999999998</v>
      </c>
      <c r="E23" s="19">
        <v>0.76533623200000001</v>
      </c>
      <c r="F23" s="20">
        <v>264194.53999999998</v>
      </c>
      <c r="G23" s="20">
        <f t="shared" si="1"/>
        <v>407539.1223523104</v>
      </c>
      <c r="H23" s="20">
        <v>0</v>
      </c>
      <c r="I23" s="20">
        <v>0</v>
      </c>
      <c r="J23" s="20">
        <v>0</v>
      </c>
      <c r="K23" s="20">
        <v>0</v>
      </c>
      <c r="L23" s="20">
        <f t="shared" si="0"/>
        <v>407539.1223523104</v>
      </c>
    </row>
    <row r="24" spans="1:12">
      <c r="A24" s="23" t="s">
        <v>585</v>
      </c>
      <c r="B24" s="19" t="s">
        <v>2523</v>
      </c>
      <c r="C24" s="19" t="e">
        <f>VLOOKUP(A24,'Distribution Detail'!$A$2:$F$558,5,FALSE)</f>
        <v>#N/A</v>
      </c>
      <c r="D24" s="25">
        <v>508637.26</v>
      </c>
      <c r="E24" s="19">
        <v>0.59955064400000002</v>
      </c>
      <c r="F24" s="20">
        <v>426236.53</v>
      </c>
      <c r="G24" s="20">
        <f t="shared" si="1"/>
        <v>839310.26657001907</v>
      </c>
      <c r="H24" s="20">
        <v>0</v>
      </c>
      <c r="I24" s="20">
        <v>506.86372299113594</v>
      </c>
      <c r="J24" s="20">
        <v>0</v>
      </c>
      <c r="K24" s="20">
        <v>89025.475201717622</v>
      </c>
      <c r="L24" s="20">
        <f t="shared" si="0"/>
        <v>928842.60549472773</v>
      </c>
    </row>
    <row r="25" spans="1:12">
      <c r="A25" s="23" t="s">
        <v>587</v>
      </c>
      <c r="B25" s="19" t="s">
        <v>2522</v>
      </c>
      <c r="C25" s="19" t="e">
        <f>VLOOKUP(A25,'Distribution Detail'!$A$2:$F$558,5,FALSE)</f>
        <v>#N/A</v>
      </c>
      <c r="D25" s="25">
        <v>460982.75</v>
      </c>
      <c r="E25" s="19">
        <v>0.9</v>
      </c>
      <c r="F25" s="20">
        <v>460982.75</v>
      </c>
      <c r="G25" s="20">
        <f t="shared" si="1"/>
        <v>604699.91376441612</v>
      </c>
      <c r="H25" s="20">
        <v>0</v>
      </c>
      <c r="I25" s="20">
        <v>0</v>
      </c>
      <c r="J25" s="20">
        <v>0</v>
      </c>
      <c r="K25" s="20">
        <v>0</v>
      </c>
      <c r="L25" s="20">
        <f t="shared" si="0"/>
        <v>604699.91376441612</v>
      </c>
    </row>
    <row r="26" spans="1:12">
      <c r="A26" s="23" t="s">
        <v>589</v>
      </c>
      <c r="B26" s="19" t="s">
        <v>2521</v>
      </c>
      <c r="C26" s="19" t="e">
        <f>VLOOKUP(A26,'Distribution Detail'!$A$2:$F$558,5,FALSE)</f>
        <v>#N/A</v>
      </c>
      <c r="D26" s="25">
        <v>3795281.99</v>
      </c>
      <c r="E26" s="19">
        <v>0.88088718200000005</v>
      </c>
      <c r="F26" s="20">
        <v>3795281.99</v>
      </c>
      <c r="G26" s="20">
        <f t="shared" si="1"/>
        <v>5086528.7178057646</v>
      </c>
      <c r="H26" s="20">
        <v>0</v>
      </c>
      <c r="I26" s="20">
        <v>0</v>
      </c>
      <c r="J26" s="20">
        <v>0</v>
      </c>
      <c r="K26" s="20">
        <v>0</v>
      </c>
      <c r="L26" s="20">
        <f t="shared" si="0"/>
        <v>5086528.7178057646</v>
      </c>
    </row>
    <row r="27" spans="1:12">
      <c r="A27" s="23" t="s">
        <v>591</v>
      </c>
      <c r="B27" s="19" t="s">
        <v>2520</v>
      </c>
      <c r="C27" s="19" t="e">
        <f>VLOOKUP(A27,'Distribution Detail'!$A$2:$F$558,5,FALSE)</f>
        <v>#N/A</v>
      </c>
      <c r="D27" s="25">
        <v>753815.22</v>
      </c>
      <c r="E27" s="19">
        <v>0.44257648399999999</v>
      </c>
      <c r="F27" s="20">
        <v>544204.28</v>
      </c>
      <c r="G27" s="20">
        <f t="shared" si="1"/>
        <v>1451681.5609864383</v>
      </c>
      <c r="H27" s="20">
        <v>0</v>
      </c>
      <c r="I27" s="20">
        <v>0</v>
      </c>
      <c r="J27" s="20">
        <v>0</v>
      </c>
      <c r="K27" s="20">
        <v>227752.32358265261</v>
      </c>
      <c r="L27" s="20">
        <f t="shared" si="0"/>
        <v>1679433.8845690908</v>
      </c>
    </row>
    <row r="28" spans="1:12">
      <c r="A28" s="23" t="s">
        <v>593</v>
      </c>
      <c r="B28" s="19" t="s">
        <v>2519</v>
      </c>
      <c r="C28" s="19" t="e">
        <f>VLOOKUP(A28,'Distribution Detail'!$A$2:$F$558,5,FALSE)</f>
        <v>#N/A</v>
      </c>
      <c r="D28" s="25">
        <v>1202604.29</v>
      </c>
      <c r="E28" s="19">
        <v>0.19657469799999999</v>
      </c>
      <c r="F28" s="20">
        <v>1197472.93</v>
      </c>
      <c r="G28" s="20">
        <f t="shared" si="1"/>
        <v>5654880.5763825243</v>
      </c>
      <c r="H28" s="20">
        <v>0</v>
      </c>
      <c r="I28" s="20">
        <v>4561.7517759625189</v>
      </c>
      <c r="J28" s="20">
        <v>1013.7165805034194</v>
      </c>
      <c r="K28" s="20">
        <v>0</v>
      </c>
      <c r="L28" s="20">
        <f t="shared" si="0"/>
        <v>5660456.0447389903</v>
      </c>
    </row>
    <row r="29" spans="1:12">
      <c r="A29" s="23" t="s">
        <v>595</v>
      </c>
      <c r="B29" s="19" t="s">
        <v>2518</v>
      </c>
      <c r="C29" s="19" t="e">
        <f>VLOOKUP(A29,'Distribution Detail'!$A$2:$F$558,5,FALSE)</f>
        <v>#N/A</v>
      </c>
      <c r="D29" s="25">
        <v>599090.72</v>
      </c>
      <c r="E29" s="19">
        <v>0.564261609</v>
      </c>
      <c r="F29" s="20">
        <v>599090.72</v>
      </c>
      <c r="G29" s="20">
        <f t="shared" si="1"/>
        <v>1253458.1289402987</v>
      </c>
      <c r="H29" s="20">
        <v>0</v>
      </c>
      <c r="I29" s="20">
        <v>0</v>
      </c>
      <c r="J29" s="20">
        <v>0</v>
      </c>
      <c r="K29" s="20">
        <v>0</v>
      </c>
      <c r="L29" s="20">
        <f t="shared" si="0"/>
        <v>1253458.1289402987</v>
      </c>
    </row>
    <row r="30" spans="1:12">
      <c r="A30" s="23" t="s">
        <v>597</v>
      </c>
      <c r="B30" s="19" t="s">
        <v>2517</v>
      </c>
      <c r="C30" s="19" t="e">
        <f>VLOOKUP(A30,'Distribution Detail'!$A$2:$F$558,5,FALSE)</f>
        <v>#N/A</v>
      </c>
      <c r="D30" s="25">
        <v>12305542.82</v>
      </c>
      <c r="E30" s="19">
        <v>0.47928635600000002</v>
      </c>
      <c r="F30" s="20">
        <v>7159907.8799999999</v>
      </c>
      <c r="G30" s="20">
        <f t="shared" si="1"/>
        <v>17636406.912692364</v>
      </c>
      <c r="H30" s="20">
        <v>5590978.762335035</v>
      </c>
      <c r="I30" s="20">
        <v>0</v>
      </c>
      <c r="J30" s="20">
        <v>0</v>
      </c>
      <c r="K30" s="20">
        <v>0</v>
      </c>
      <c r="L30" s="20">
        <f t="shared" si="0"/>
        <v>23227385.6750274</v>
      </c>
    </row>
    <row r="31" spans="1:12">
      <c r="A31" s="23" t="s">
        <v>598</v>
      </c>
      <c r="B31" s="19" t="s">
        <v>2516</v>
      </c>
      <c r="C31" s="19" t="e">
        <f>VLOOKUP(A31,'Distribution Detail'!$A$2:$F$558,5,FALSE)</f>
        <v>#N/A</v>
      </c>
      <c r="D31" s="25">
        <v>698433.73</v>
      </c>
      <c r="E31" s="19">
        <v>0.57348229100000003</v>
      </c>
      <c r="F31" s="20">
        <v>692882.53</v>
      </c>
      <c r="G31" s="20">
        <f t="shared" si="1"/>
        <v>1426386.8999567674</v>
      </c>
      <c r="H31" s="20">
        <v>6031.6446206100745</v>
      </c>
      <c r="I31" s="20">
        <v>0</v>
      </c>
      <c r="J31" s="20">
        <v>0</v>
      </c>
      <c r="K31" s="20">
        <v>0</v>
      </c>
      <c r="L31" s="20">
        <f t="shared" si="0"/>
        <v>1432418.5445773776</v>
      </c>
    </row>
    <row r="32" spans="1:12">
      <c r="A32" s="23" t="s">
        <v>600</v>
      </c>
      <c r="B32" s="19" t="s">
        <v>2515</v>
      </c>
      <c r="C32" s="19" t="e">
        <f>VLOOKUP(A32,'Distribution Detail'!$A$2:$F$558,5,FALSE)</f>
        <v>#N/A</v>
      </c>
      <c r="D32" s="25">
        <v>549718</v>
      </c>
      <c r="E32" s="19">
        <v>0.75370231300000001</v>
      </c>
      <c r="F32" s="20">
        <v>473724.62</v>
      </c>
      <c r="G32" s="20">
        <f t="shared" si="1"/>
        <v>742034.07630361232</v>
      </c>
      <c r="H32" s="20">
        <v>0</v>
      </c>
      <c r="I32" s="20">
        <v>0</v>
      </c>
      <c r="J32" s="20">
        <v>0</v>
      </c>
      <c r="K32" s="20">
        <v>82570.446332140302</v>
      </c>
      <c r="L32" s="20">
        <f t="shared" si="0"/>
        <v>824604.52263575257</v>
      </c>
    </row>
    <row r="33" spans="1:12">
      <c r="A33" s="23" t="s">
        <v>602</v>
      </c>
      <c r="B33" s="19" t="s">
        <v>2514</v>
      </c>
      <c r="C33" s="19">
        <f>VLOOKUP(A33,'Distribution Detail'!$A$2:$F$558,5,FALSE)</f>
        <v>1</v>
      </c>
      <c r="D33" s="25">
        <v>15319125.619999999</v>
      </c>
      <c r="E33" s="19">
        <v>0.82077291200000002</v>
      </c>
      <c r="F33" s="20">
        <v>9327570.0299999993</v>
      </c>
      <c r="G33" s="20">
        <f t="shared" si="1"/>
        <v>13416623.884014189</v>
      </c>
      <c r="H33" s="20">
        <v>5360711.8953089379</v>
      </c>
      <c r="I33" s="20">
        <v>0</v>
      </c>
      <c r="J33" s="20">
        <v>1039571.5089759721</v>
      </c>
      <c r="K33" s="20">
        <v>0</v>
      </c>
      <c r="L33" s="20">
        <f t="shared" si="0"/>
        <v>19816907.288299099</v>
      </c>
    </row>
    <row r="34" spans="1:12">
      <c r="A34" s="23" t="s">
        <v>603</v>
      </c>
      <c r="B34" s="19" t="s">
        <v>2513</v>
      </c>
      <c r="C34" s="19">
        <f>VLOOKUP(A34,'Distribution Detail'!$A$2:$F$558,5,FALSE)</f>
        <v>1</v>
      </c>
      <c r="D34" s="25">
        <v>484950.54</v>
      </c>
      <c r="E34" s="19">
        <v>0.36121586500000002</v>
      </c>
      <c r="F34" s="20">
        <v>484950.54</v>
      </c>
      <c r="G34" s="20">
        <f t="shared" si="1"/>
        <v>1584996.7361475499</v>
      </c>
      <c r="H34" s="20">
        <v>0</v>
      </c>
      <c r="I34" s="20">
        <v>0</v>
      </c>
      <c r="J34" s="20">
        <v>0</v>
      </c>
      <c r="K34" s="20">
        <v>0</v>
      </c>
      <c r="L34" s="20">
        <f t="shared" si="0"/>
        <v>1584996.7361475499</v>
      </c>
    </row>
    <row r="35" spans="1:12">
      <c r="A35" s="23" t="s">
        <v>605</v>
      </c>
      <c r="B35" s="19" t="s">
        <v>2512</v>
      </c>
      <c r="C35" s="19">
        <f>VLOOKUP(A35,'Distribution Detail'!$A$2:$F$558,5,FALSE)</f>
        <v>1</v>
      </c>
      <c r="D35" s="25">
        <v>29177537.25</v>
      </c>
      <c r="E35" s="19">
        <v>0.59246764100000004</v>
      </c>
      <c r="F35" s="20">
        <v>28555955.460000001</v>
      </c>
      <c r="G35" s="20">
        <f t="shared" si="1"/>
        <v>56902297.551496156</v>
      </c>
      <c r="H35" s="20">
        <v>379283.94321266137</v>
      </c>
      <c r="I35" s="20">
        <v>0</v>
      </c>
      <c r="J35" s="20">
        <v>0</v>
      </c>
      <c r="K35" s="20">
        <v>0</v>
      </c>
      <c r="L35" s="20">
        <f t="shared" si="0"/>
        <v>57281581.494708814</v>
      </c>
    </row>
    <row r="36" spans="1:12">
      <c r="A36" s="23" t="s">
        <v>606</v>
      </c>
      <c r="B36" s="19" t="s">
        <v>2511</v>
      </c>
      <c r="C36" s="19">
        <f>VLOOKUP(A36,'Distribution Detail'!$A$2:$F$558,5,FALSE)</f>
        <v>1</v>
      </c>
      <c r="D36" s="25">
        <v>604725.66</v>
      </c>
      <c r="E36" s="19">
        <v>0.54542155599999997</v>
      </c>
      <c r="F36" s="20">
        <v>499478.51</v>
      </c>
      <c r="G36" s="20">
        <f t="shared" si="1"/>
        <v>1081140.7855677526</v>
      </c>
      <c r="H36" s="20">
        <v>0</v>
      </c>
      <c r="I36" s="20">
        <v>0</v>
      </c>
      <c r="J36" s="20">
        <v>0</v>
      </c>
      <c r="K36" s="20">
        <v>114356.06826128434</v>
      </c>
      <c r="L36" s="20">
        <f t="shared" si="0"/>
        <v>1195496.8538290369</v>
      </c>
    </row>
    <row r="37" spans="1:12">
      <c r="A37" s="23" t="s">
        <v>1682</v>
      </c>
      <c r="B37" s="19" t="s">
        <v>2510</v>
      </c>
      <c r="C37" s="19">
        <f>VLOOKUP(A37,'Distribution Detail'!$A$2:$F$558,5,FALSE)</f>
        <v>1</v>
      </c>
      <c r="D37" s="25">
        <v>452272.56</v>
      </c>
      <c r="E37" s="19">
        <v>0.67515885200000003</v>
      </c>
      <c r="F37" s="20">
        <v>452272.56</v>
      </c>
      <c r="G37" s="20">
        <f t="shared" si="1"/>
        <v>790846.16866296052</v>
      </c>
      <c r="H37" s="20">
        <v>0</v>
      </c>
      <c r="I37" s="20">
        <v>0</v>
      </c>
      <c r="J37" s="20">
        <v>0</v>
      </c>
      <c r="K37" s="20">
        <v>0</v>
      </c>
      <c r="L37" s="20">
        <f t="shared" si="0"/>
        <v>790846.16866296052</v>
      </c>
    </row>
    <row r="38" spans="1:12">
      <c r="A38" s="23" t="s">
        <v>608</v>
      </c>
      <c r="B38" s="19" t="s">
        <v>2509</v>
      </c>
      <c r="C38" s="19" t="e">
        <f>VLOOKUP(A38,'Distribution Detail'!$A$2:$F$558,5,FALSE)</f>
        <v>#N/A</v>
      </c>
      <c r="D38" s="25">
        <v>211814.37</v>
      </c>
      <c r="E38" s="19">
        <v>0.42594975699999998</v>
      </c>
      <c r="F38" s="20">
        <v>211814.37</v>
      </c>
      <c r="G38" s="20">
        <f t="shared" si="1"/>
        <v>587076.62283333309</v>
      </c>
      <c r="H38" s="20">
        <v>0</v>
      </c>
      <c r="I38" s="20">
        <v>0</v>
      </c>
      <c r="J38" s="20">
        <v>0</v>
      </c>
      <c r="K38" s="20">
        <v>0</v>
      </c>
      <c r="L38" s="20">
        <f t="shared" si="0"/>
        <v>587076.62283333309</v>
      </c>
    </row>
    <row r="39" spans="1:12">
      <c r="A39" s="23" t="s">
        <v>610</v>
      </c>
      <c r="B39" s="19" t="s">
        <v>2508</v>
      </c>
      <c r="C39" s="19" t="e">
        <f>VLOOKUP(A39,'Distribution Detail'!$A$2:$F$558,5,FALSE)</f>
        <v>#N/A</v>
      </c>
      <c r="D39" s="25">
        <v>7028699.9299999997</v>
      </c>
      <c r="E39" s="19">
        <v>0.87715407899999998</v>
      </c>
      <c r="F39" s="20">
        <v>6770097.3799999999</v>
      </c>
      <c r="G39" s="20">
        <f t="shared" si="1"/>
        <v>9112064.179905666</v>
      </c>
      <c r="H39" s="20">
        <v>0</v>
      </c>
      <c r="I39" s="20">
        <v>0</v>
      </c>
      <c r="J39" s="20">
        <v>0</v>
      </c>
      <c r="K39" s="20">
        <v>0</v>
      </c>
      <c r="L39" s="20">
        <f t="shared" si="0"/>
        <v>9112064.179905666</v>
      </c>
    </row>
    <row r="40" spans="1:12">
      <c r="A40" s="23" t="s">
        <v>612</v>
      </c>
      <c r="B40" s="19" t="s">
        <v>2507</v>
      </c>
      <c r="C40" s="19" t="e">
        <f>VLOOKUP(A40,'Distribution Detail'!$A$2:$F$558,5,FALSE)</f>
        <v>#N/A</v>
      </c>
      <c r="D40" s="25">
        <v>15005.51</v>
      </c>
      <c r="E40" s="19">
        <v>0.33130531600000002</v>
      </c>
      <c r="F40" s="20">
        <v>12673.07</v>
      </c>
      <c r="G40" s="20">
        <f t="shared" si="1"/>
        <v>45159.712767660167</v>
      </c>
      <c r="H40" s="20">
        <v>0</v>
      </c>
      <c r="I40" s="20">
        <v>0</v>
      </c>
      <c r="J40" s="20">
        <v>2534.3077494768272</v>
      </c>
      <c r="K40" s="20">
        <v>0</v>
      </c>
      <c r="L40" s="20">
        <f t="shared" si="0"/>
        <v>47694.020517136996</v>
      </c>
    </row>
    <row r="41" spans="1:12">
      <c r="A41" s="23" t="s">
        <v>614</v>
      </c>
      <c r="B41" s="19" t="s">
        <v>2506</v>
      </c>
      <c r="C41" s="19">
        <f>VLOOKUP(A41,'Distribution Detail'!$A$2:$F$558,5,FALSE)</f>
        <v>1</v>
      </c>
      <c r="D41" s="25">
        <v>1102315.3700000001</v>
      </c>
      <c r="E41" s="19">
        <v>0.70327754499999995</v>
      </c>
      <c r="F41" s="20">
        <v>1102315.3700000001</v>
      </c>
      <c r="G41" s="20">
        <f t="shared" si="1"/>
        <v>1850447.8651558661</v>
      </c>
      <c r="H41" s="20">
        <v>0</v>
      </c>
      <c r="I41" s="20">
        <v>0</v>
      </c>
      <c r="J41" s="20">
        <v>0</v>
      </c>
      <c r="K41" s="20">
        <v>0</v>
      </c>
      <c r="L41" s="20">
        <f t="shared" si="0"/>
        <v>1850447.8651558661</v>
      </c>
    </row>
    <row r="42" spans="1:12">
      <c r="A42" s="23" t="s">
        <v>616</v>
      </c>
      <c r="B42" s="19" t="s">
        <v>2505</v>
      </c>
      <c r="C42" s="19">
        <f>VLOOKUP(A42,'Distribution Detail'!$A$2:$F$558,5,FALSE)</f>
        <v>1</v>
      </c>
      <c r="D42" s="25">
        <v>1092036.32</v>
      </c>
      <c r="E42" s="19">
        <v>0.51495326799999996</v>
      </c>
      <c r="F42" s="20">
        <v>1092036.32</v>
      </c>
      <c r="G42" s="20">
        <f t="shared" si="1"/>
        <v>2503611.892951231</v>
      </c>
      <c r="H42" s="20">
        <v>0</v>
      </c>
      <c r="I42" s="20">
        <v>0</v>
      </c>
      <c r="J42" s="20">
        <v>0</v>
      </c>
      <c r="K42" s="20">
        <v>0</v>
      </c>
      <c r="L42" s="20">
        <f t="shared" si="0"/>
        <v>2503611.892951231</v>
      </c>
    </row>
    <row r="43" spans="1:12">
      <c r="A43" s="23" t="s">
        <v>618</v>
      </c>
      <c r="B43" s="19" t="s">
        <v>2504</v>
      </c>
      <c r="C43" s="19">
        <f>VLOOKUP(A43,'Distribution Detail'!$A$2:$F$558,5,FALSE)</f>
        <v>1</v>
      </c>
      <c r="D43" s="25">
        <v>165653.87</v>
      </c>
      <c r="E43" s="19">
        <v>0.33027436500000001</v>
      </c>
      <c r="F43" s="20">
        <v>114010.92</v>
      </c>
      <c r="G43" s="20">
        <f t="shared" si="1"/>
        <v>407539.14096309763</v>
      </c>
      <c r="H43" s="20">
        <v>0</v>
      </c>
      <c r="I43" s="20">
        <v>0</v>
      </c>
      <c r="J43" s="20">
        <v>0</v>
      </c>
      <c r="K43" s="20">
        <v>56112.538110667076</v>
      </c>
      <c r="L43" s="20">
        <f t="shared" si="0"/>
        <v>463651.67907376471</v>
      </c>
    </row>
    <row r="44" spans="1:12">
      <c r="A44" s="23" t="s">
        <v>620</v>
      </c>
      <c r="B44" s="19" t="s">
        <v>2503</v>
      </c>
      <c r="C44" s="19" t="e">
        <f>VLOOKUP(A44,'Distribution Detail'!$A$2:$F$558,5,FALSE)</f>
        <v>#N/A</v>
      </c>
      <c r="D44" s="25">
        <v>427651.46</v>
      </c>
      <c r="E44" s="19">
        <v>0.526866854</v>
      </c>
      <c r="F44" s="20">
        <v>427651.46</v>
      </c>
      <c r="G44" s="20">
        <f t="shared" si="1"/>
        <v>958267.641982186</v>
      </c>
      <c r="H44" s="20">
        <v>0</v>
      </c>
      <c r="I44" s="20">
        <v>0</v>
      </c>
      <c r="J44" s="20">
        <v>0</v>
      </c>
      <c r="K44" s="20">
        <v>0</v>
      </c>
      <c r="L44" s="20">
        <f t="shared" si="0"/>
        <v>958267.641982186</v>
      </c>
    </row>
    <row r="45" spans="1:12">
      <c r="A45" s="23" t="s">
        <v>622</v>
      </c>
      <c r="B45" s="19" t="s">
        <v>2502</v>
      </c>
      <c r="C45" s="19">
        <f>VLOOKUP(A45,'Distribution Detail'!$A$2:$F$558,5,FALSE)</f>
        <v>1</v>
      </c>
      <c r="D45" s="25">
        <v>67891.05</v>
      </c>
      <c r="E45" s="19">
        <v>0.83491541000000002</v>
      </c>
      <c r="F45" s="20">
        <v>63996.28</v>
      </c>
      <c r="G45" s="20">
        <f t="shared" si="1"/>
        <v>90491.959974047437</v>
      </c>
      <c r="H45" s="20">
        <v>0</v>
      </c>
      <c r="I45" s="20">
        <v>0</v>
      </c>
      <c r="J45" s="20">
        <v>0</v>
      </c>
      <c r="K45" s="20">
        <v>0</v>
      </c>
      <c r="L45" s="20">
        <f t="shared" si="0"/>
        <v>90491.959974047437</v>
      </c>
    </row>
    <row r="46" spans="1:12">
      <c r="A46" s="23" t="s">
        <v>623</v>
      </c>
      <c r="B46" s="19" t="s">
        <v>2501</v>
      </c>
      <c r="C46" s="19">
        <f>VLOOKUP(A46,'Distribution Detail'!$A$2:$F$558,5,FALSE)</f>
        <v>1</v>
      </c>
      <c r="D46" s="25">
        <v>857917.09</v>
      </c>
      <c r="E46" s="19">
        <v>0.81520415999999996</v>
      </c>
      <c r="F46" s="20">
        <v>857917.09</v>
      </c>
      <c r="G46" s="20">
        <f t="shared" si="1"/>
        <v>1242443.5725994483</v>
      </c>
      <c r="H46" s="20">
        <v>0</v>
      </c>
      <c r="I46" s="20">
        <v>0</v>
      </c>
      <c r="J46" s="20">
        <v>0</v>
      </c>
      <c r="K46" s="20">
        <v>0</v>
      </c>
      <c r="L46" s="20">
        <f t="shared" si="0"/>
        <v>1242443.5725994483</v>
      </c>
    </row>
    <row r="47" spans="1:12">
      <c r="A47" s="23" t="s">
        <v>625</v>
      </c>
      <c r="B47" s="19" t="s">
        <v>2500</v>
      </c>
      <c r="C47" s="19">
        <f>VLOOKUP(A47,'Distribution Detail'!$A$2:$F$558,5,FALSE)</f>
        <v>1</v>
      </c>
      <c r="D47" s="25">
        <v>331644.78999999998</v>
      </c>
      <c r="E47" s="19">
        <v>0.64261022800000001</v>
      </c>
      <c r="F47" s="20">
        <v>304350.75</v>
      </c>
      <c r="G47" s="20">
        <f t="shared" si="1"/>
        <v>559145.04983341624</v>
      </c>
      <c r="H47" s="20">
        <v>0</v>
      </c>
      <c r="I47" s="20">
        <v>0</v>
      </c>
      <c r="J47" s="20">
        <v>0</v>
      </c>
      <c r="K47" s="20">
        <v>29656.28144197943</v>
      </c>
      <c r="L47" s="20">
        <f t="shared" si="0"/>
        <v>588801.3312753957</v>
      </c>
    </row>
    <row r="48" spans="1:12">
      <c r="A48" s="23" t="s">
        <v>627</v>
      </c>
      <c r="B48" s="19" t="s">
        <v>2499</v>
      </c>
      <c r="C48" s="19" t="e">
        <f>VLOOKUP(A48,'Distribution Detail'!$A$2:$F$558,5,FALSE)</f>
        <v>#N/A</v>
      </c>
      <c r="D48" s="25">
        <v>795919.06</v>
      </c>
      <c r="E48" s="19">
        <v>0.49046500500000001</v>
      </c>
      <c r="F48" s="20">
        <v>589238.85</v>
      </c>
      <c r="G48" s="20">
        <f t="shared" si="1"/>
        <v>1418342.4112596526</v>
      </c>
      <c r="H48" s="20">
        <v>0</v>
      </c>
      <c r="I48" s="20">
        <v>0</v>
      </c>
      <c r="J48" s="20">
        <v>0</v>
      </c>
      <c r="K48" s="20">
        <v>224567.94509890844</v>
      </c>
      <c r="L48" s="20">
        <f t="shared" si="0"/>
        <v>1642910.356358561</v>
      </c>
    </row>
    <row r="49" spans="1:12">
      <c r="A49" s="23" t="s">
        <v>629</v>
      </c>
      <c r="B49" s="19" t="s">
        <v>2498</v>
      </c>
      <c r="C49" s="19" t="e">
        <f>VLOOKUP(A49,'Distribution Detail'!$A$2:$F$558,5,FALSE)</f>
        <v>#N/A</v>
      </c>
      <c r="D49" s="25">
        <v>996796.51</v>
      </c>
      <c r="E49" s="19">
        <v>0.59181897699999997</v>
      </c>
      <c r="F49" s="20">
        <v>991665.15</v>
      </c>
      <c r="G49" s="20">
        <f t="shared" si="1"/>
        <v>1978216.8917588235</v>
      </c>
      <c r="H49" s="20">
        <v>0</v>
      </c>
      <c r="I49" s="20">
        <v>0</v>
      </c>
      <c r="J49" s="20">
        <v>5575.4683564659372</v>
      </c>
      <c r="K49" s="20">
        <v>0</v>
      </c>
      <c r="L49" s="20">
        <f t="shared" si="0"/>
        <v>1983792.3601152895</v>
      </c>
    </row>
    <row r="50" spans="1:12">
      <c r="A50" s="23" t="s">
        <v>630</v>
      </c>
      <c r="B50" s="19" t="s">
        <v>2497</v>
      </c>
      <c r="C50" s="19">
        <f>VLOOKUP(A50,'Distribution Detail'!$A$2:$F$558,5,FALSE)</f>
        <v>1</v>
      </c>
      <c r="D50" s="25">
        <v>1222123.93</v>
      </c>
      <c r="E50" s="19">
        <v>0.78391498800000003</v>
      </c>
      <c r="F50" s="20">
        <v>1205302.3600000001</v>
      </c>
      <c r="G50" s="20">
        <f t="shared" si="1"/>
        <v>1815201.2446849884</v>
      </c>
      <c r="H50" s="20">
        <v>0</v>
      </c>
      <c r="I50" s="20">
        <v>0</v>
      </c>
      <c r="J50" s="20">
        <v>0</v>
      </c>
      <c r="K50" s="20">
        <v>0</v>
      </c>
      <c r="L50" s="20">
        <f t="shared" si="0"/>
        <v>1815201.2446849884</v>
      </c>
    </row>
    <row r="51" spans="1:12">
      <c r="A51" s="23" t="s">
        <v>632</v>
      </c>
      <c r="B51" s="19" t="s">
        <v>2496</v>
      </c>
      <c r="C51" s="19" t="e">
        <f>VLOOKUP(A51,'Distribution Detail'!$A$2:$F$558,5,FALSE)</f>
        <v>#N/A</v>
      </c>
      <c r="D51" s="25">
        <v>1096574.18</v>
      </c>
      <c r="E51" s="19">
        <v>0.50505149800000004</v>
      </c>
      <c r="F51" s="20">
        <v>1096574.18</v>
      </c>
      <c r="G51" s="20">
        <f t="shared" si="1"/>
        <v>2563303.8741283701</v>
      </c>
      <c r="H51" s="20">
        <v>0</v>
      </c>
      <c r="I51" s="20">
        <v>0</v>
      </c>
      <c r="J51" s="20">
        <v>0</v>
      </c>
      <c r="K51" s="20">
        <v>0</v>
      </c>
      <c r="L51" s="20">
        <f t="shared" si="0"/>
        <v>2563303.8741283701</v>
      </c>
    </row>
    <row r="52" spans="1:12">
      <c r="A52" s="23" t="s">
        <v>633</v>
      </c>
      <c r="B52" s="19" t="s">
        <v>2495</v>
      </c>
      <c r="C52" s="19">
        <f>VLOOKUP(A52,'Distribution Detail'!$A$2:$F$558,5,FALSE)</f>
        <v>1</v>
      </c>
      <c r="D52" s="25">
        <v>131307.56</v>
      </c>
      <c r="E52" s="19">
        <v>0.27759517900000003</v>
      </c>
      <c r="F52" s="20">
        <v>131307.56</v>
      </c>
      <c r="G52" s="20">
        <f t="shared" si="1"/>
        <v>558438.75924946938</v>
      </c>
      <c r="H52" s="20">
        <v>0</v>
      </c>
      <c r="I52" s="20">
        <v>0</v>
      </c>
      <c r="J52" s="20">
        <v>0</v>
      </c>
      <c r="K52" s="20">
        <v>0</v>
      </c>
      <c r="L52" s="20">
        <f t="shared" si="0"/>
        <v>558438.75924946938</v>
      </c>
    </row>
    <row r="53" spans="1:12">
      <c r="A53" s="23" t="s">
        <v>635</v>
      </c>
      <c r="B53" s="19" t="s">
        <v>2494</v>
      </c>
      <c r="C53" s="19" t="e">
        <f>VLOOKUP(A53,'Distribution Detail'!$A$2:$F$558,5,FALSE)</f>
        <v>#N/A</v>
      </c>
      <c r="D53" s="25">
        <v>634695.6</v>
      </c>
      <c r="E53" s="19">
        <v>0.47013991999999999</v>
      </c>
      <c r="F53" s="20">
        <v>634695.6</v>
      </c>
      <c r="G53" s="20">
        <f t="shared" si="1"/>
        <v>1593808.3590910805</v>
      </c>
      <c r="H53" s="20">
        <v>0</v>
      </c>
      <c r="I53" s="20">
        <v>0</v>
      </c>
      <c r="J53" s="20">
        <v>0</v>
      </c>
      <c r="K53" s="20">
        <v>0</v>
      </c>
      <c r="L53" s="20">
        <f t="shared" si="0"/>
        <v>1593808.3590910805</v>
      </c>
    </row>
    <row r="54" spans="1:12">
      <c r="A54" s="23" t="s">
        <v>637</v>
      </c>
      <c r="B54" s="19" t="s">
        <v>2493</v>
      </c>
      <c r="C54" s="19" t="e">
        <f>VLOOKUP(A54,'Distribution Detail'!$A$2:$F$558,5,FALSE)</f>
        <v>#N/A</v>
      </c>
      <c r="D54" s="25">
        <v>538395.14</v>
      </c>
      <c r="E54" s="19">
        <v>0.77459560199999999</v>
      </c>
      <c r="F54" s="20">
        <v>538395.14</v>
      </c>
      <c r="G54" s="20">
        <f t="shared" si="1"/>
        <v>820585.51374253898</v>
      </c>
      <c r="H54" s="20">
        <v>0</v>
      </c>
      <c r="I54" s="20">
        <v>0</v>
      </c>
      <c r="J54" s="20">
        <v>0</v>
      </c>
      <c r="K54" s="20">
        <v>0</v>
      </c>
      <c r="L54" s="20">
        <f t="shared" si="0"/>
        <v>820585.51374253898</v>
      </c>
    </row>
    <row r="55" spans="1:12">
      <c r="A55" s="23" t="s">
        <v>639</v>
      </c>
      <c r="B55" s="19" t="s">
        <v>2492</v>
      </c>
      <c r="C55" s="19" t="e">
        <f>VLOOKUP(A55,'Distribution Detail'!$A$2:$F$558,5,FALSE)</f>
        <v>#N/A</v>
      </c>
      <c r="D55" s="25">
        <v>420083.55</v>
      </c>
      <c r="E55" s="19">
        <v>0.50110816000000002</v>
      </c>
      <c r="F55" s="20">
        <v>420083.55</v>
      </c>
      <c r="G55" s="20">
        <f t="shared" si="1"/>
        <v>989696.29012418864</v>
      </c>
      <c r="H55" s="20">
        <v>0</v>
      </c>
      <c r="I55" s="20">
        <v>0</v>
      </c>
      <c r="J55" s="20">
        <v>0</v>
      </c>
      <c r="K55" s="20">
        <v>0</v>
      </c>
      <c r="L55" s="20">
        <f t="shared" si="0"/>
        <v>989696.29012418864</v>
      </c>
    </row>
    <row r="56" spans="1:12">
      <c r="A56" s="23" t="s">
        <v>641</v>
      </c>
      <c r="B56" s="19" t="s">
        <v>2491</v>
      </c>
      <c r="C56" s="19" t="e">
        <f>VLOOKUP(A56,'Distribution Detail'!$A$2:$F$558,5,FALSE)</f>
        <v>#N/A</v>
      </c>
      <c r="D56" s="25">
        <v>873525.18</v>
      </c>
      <c r="E56" s="19">
        <v>0.49108012699999998</v>
      </c>
      <c r="F56" s="20">
        <v>714392.26</v>
      </c>
      <c r="G56" s="20">
        <f t="shared" si="1"/>
        <v>1717442.1720056385</v>
      </c>
      <c r="H56" s="20">
        <v>0</v>
      </c>
      <c r="I56" s="20">
        <v>0</v>
      </c>
      <c r="J56" s="20">
        <v>0</v>
      </c>
      <c r="K56" s="20">
        <v>172905.53769995199</v>
      </c>
      <c r="L56" s="20">
        <f t="shared" si="0"/>
        <v>1890347.7097055905</v>
      </c>
    </row>
    <row r="57" spans="1:12">
      <c r="A57" s="23" t="s">
        <v>643</v>
      </c>
      <c r="B57" s="19" t="s">
        <v>2490</v>
      </c>
      <c r="C57" s="19">
        <f>VLOOKUP(A57,'Distribution Detail'!$A$2:$F$558,5,FALSE)</f>
        <v>1</v>
      </c>
      <c r="D57" s="25">
        <v>480997.65</v>
      </c>
      <c r="E57" s="19">
        <v>0.75483567299999998</v>
      </c>
      <c r="F57" s="20">
        <v>480997.65</v>
      </c>
      <c r="G57" s="20">
        <f t="shared" si="1"/>
        <v>752295.18102392764</v>
      </c>
      <c r="H57" s="20">
        <v>0</v>
      </c>
      <c r="I57" s="20">
        <v>0</v>
      </c>
      <c r="J57" s="20">
        <v>0</v>
      </c>
      <c r="K57" s="20">
        <v>0</v>
      </c>
      <c r="L57" s="20">
        <f t="shared" si="0"/>
        <v>752295.18102392764</v>
      </c>
    </row>
    <row r="58" spans="1:12">
      <c r="A58" s="23" t="s">
        <v>645</v>
      </c>
      <c r="B58" s="19" t="s">
        <v>2489</v>
      </c>
      <c r="C58" s="19" t="e">
        <f>VLOOKUP(A58,'Distribution Detail'!$A$2:$F$558,5,FALSE)</f>
        <v>#N/A</v>
      </c>
      <c r="D58" s="25">
        <v>887992.82</v>
      </c>
      <c r="E58" s="19">
        <v>0.55128141799999997</v>
      </c>
      <c r="F58" s="20">
        <v>683653.23</v>
      </c>
      <c r="G58" s="20">
        <f t="shared" si="1"/>
        <v>1464064.6604143383</v>
      </c>
      <c r="H58" s="20">
        <v>0</v>
      </c>
      <c r="I58" s="20">
        <v>0</v>
      </c>
      <c r="J58" s="20">
        <v>0</v>
      </c>
      <c r="K58" s="20">
        <v>222024.74938773026</v>
      </c>
      <c r="L58" s="20">
        <f t="shared" si="0"/>
        <v>1686089.4098020685</v>
      </c>
    </row>
    <row r="59" spans="1:12">
      <c r="A59" s="23" t="s">
        <v>646</v>
      </c>
      <c r="B59" s="19" t="s">
        <v>2488</v>
      </c>
      <c r="C59" s="19">
        <f>VLOOKUP(A59,'Distribution Detail'!$A$2:$F$558,5,FALSE)</f>
        <v>1</v>
      </c>
      <c r="D59" s="25">
        <v>711305.33</v>
      </c>
      <c r="E59" s="19">
        <v>0.79087746299999995</v>
      </c>
      <c r="F59" s="20">
        <v>710567.46</v>
      </c>
      <c r="G59" s="20">
        <f t="shared" si="1"/>
        <v>1060703.1464201433</v>
      </c>
      <c r="H59" s="20">
        <v>0</v>
      </c>
      <c r="I59" s="20">
        <v>0</v>
      </c>
      <c r="J59" s="20">
        <v>0</v>
      </c>
      <c r="K59" s="20">
        <v>0</v>
      </c>
      <c r="L59" s="20">
        <f t="shared" si="0"/>
        <v>1060703.1464201433</v>
      </c>
    </row>
    <row r="60" spans="1:12">
      <c r="A60" s="23" t="s">
        <v>647</v>
      </c>
      <c r="B60" s="19" t="s">
        <v>2487</v>
      </c>
      <c r="C60" s="19">
        <f>VLOOKUP(A60,'Distribution Detail'!$A$2:$F$558,5,FALSE)</f>
        <v>1</v>
      </c>
      <c r="D60" s="25">
        <v>434422.45</v>
      </c>
      <c r="E60" s="19">
        <v>0.46690717100000001</v>
      </c>
      <c r="F60" s="20">
        <v>334904.48</v>
      </c>
      <c r="G60" s="20">
        <f t="shared" si="1"/>
        <v>846814.2444156761</v>
      </c>
      <c r="H60" s="20">
        <v>0</v>
      </c>
      <c r="I60" s="20">
        <v>0</v>
      </c>
      <c r="J60" s="20">
        <v>0</v>
      </c>
      <c r="K60" s="20">
        <v>108131.03984805715</v>
      </c>
      <c r="L60" s="20">
        <f t="shared" si="0"/>
        <v>954945.28426373331</v>
      </c>
    </row>
    <row r="61" spans="1:12">
      <c r="A61" s="23" t="s">
        <v>649</v>
      </c>
      <c r="B61" s="19" t="s">
        <v>2486</v>
      </c>
      <c r="C61" s="19" t="e">
        <f>VLOOKUP(A61,'Distribution Detail'!$A$2:$F$558,5,FALSE)</f>
        <v>#N/A</v>
      </c>
      <c r="D61" s="25">
        <v>860028.36</v>
      </c>
      <c r="E61" s="19">
        <v>0.74760311899999998</v>
      </c>
      <c r="F61" s="20">
        <v>856540.89</v>
      </c>
      <c r="G61" s="20">
        <f t="shared" si="1"/>
        <v>1352616.676379482</v>
      </c>
      <c r="H61" s="20">
        <v>0</v>
      </c>
      <c r="I61" s="20">
        <v>0</v>
      </c>
      <c r="J61" s="20">
        <v>0</v>
      </c>
      <c r="K61" s="20">
        <v>0</v>
      </c>
      <c r="L61" s="20">
        <f t="shared" si="0"/>
        <v>1352616.676379482</v>
      </c>
    </row>
    <row r="62" spans="1:12">
      <c r="A62" s="23" t="s">
        <v>650</v>
      </c>
      <c r="B62" s="19" t="s">
        <v>2485</v>
      </c>
      <c r="C62" s="19">
        <f>VLOOKUP(A62,'Distribution Detail'!$A$2:$F$558,5,FALSE)</f>
        <v>1</v>
      </c>
      <c r="D62" s="25">
        <v>0</v>
      </c>
      <c r="E62" s="19">
        <v>0.05</v>
      </c>
      <c r="F62" s="20">
        <v>0</v>
      </c>
      <c r="G62" s="20">
        <f t="shared" si="1"/>
        <v>0</v>
      </c>
      <c r="H62" s="20">
        <v>0</v>
      </c>
      <c r="I62" s="20">
        <v>0</v>
      </c>
      <c r="J62" s="20">
        <v>0</v>
      </c>
      <c r="K62" s="20">
        <v>0</v>
      </c>
      <c r="L62" s="20">
        <f t="shared" si="0"/>
        <v>0</v>
      </c>
    </row>
    <row r="63" spans="1:12">
      <c r="A63" s="23" t="s">
        <v>651</v>
      </c>
      <c r="B63" s="19" t="s">
        <v>2484</v>
      </c>
      <c r="C63" s="19" t="e">
        <f>VLOOKUP(A63,'Distribution Detail'!$A$2:$F$558,5,FALSE)</f>
        <v>#N/A</v>
      </c>
      <c r="D63" s="25">
        <v>1236882.92</v>
      </c>
      <c r="E63" s="19">
        <v>0.60538588100000001</v>
      </c>
      <c r="F63" s="20">
        <v>1231285.07</v>
      </c>
      <c r="G63" s="20">
        <f t="shared" si="1"/>
        <v>2401176.4053482236</v>
      </c>
      <c r="H63" s="20">
        <v>0</v>
      </c>
      <c r="I63" s="20">
        <v>0</v>
      </c>
      <c r="J63" s="20">
        <v>6082.3320794570745</v>
      </c>
      <c r="K63" s="20">
        <v>0</v>
      </c>
      <c r="L63" s="20">
        <f t="shared" si="0"/>
        <v>2407258.7374276808</v>
      </c>
    </row>
    <row r="64" spans="1:12">
      <c r="A64" s="23" t="s">
        <v>653</v>
      </c>
      <c r="B64" s="19" t="s">
        <v>2483</v>
      </c>
      <c r="C64" s="19">
        <f>VLOOKUP(A64,'Distribution Detail'!$A$2:$F$558,5,FALSE)</f>
        <v>1</v>
      </c>
      <c r="D64" s="25">
        <v>701854.89</v>
      </c>
      <c r="E64" s="19">
        <v>0.46007769399999998</v>
      </c>
      <c r="F64" s="20">
        <v>534171.39</v>
      </c>
      <c r="G64" s="20">
        <f t="shared" si="1"/>
        <v>1370715.070128832</v>
      </c>
      <c r="H64" s="20">
        <v>0</v>
      </c>
      <c r="I64" s="20">
        <v>0</v>
      </c>
      <c r="J64" s="20">
        <v>0</v>
      </c>
      <c r="K64" s="20">
        <v>182196.15231662875</v>
      </c>
      <c r="L64" s="20">
        <f t="shared" si="0"/>
        <v>1552911.2224454607</v>
      </c>
    </row>
    <row r="65" spans="1:12">
      <c r="A65" s="23" t="s">
        <v>654</v>
      </c>
      <c r="B65" s="19" t="s">
        <v>2482</v>
      </c>
      <c r="C65" s="19">
        <f>VLOOKUP(A65,'Distribution Detail'!$A$2:$F$558,5,FALSE)</f>
        <v>1</v>
      </c>
      <c r="D65" s="25">
        <v>3057492.94</v>
      </c>
      <c r="E65" s="19">
        <v>0.79093533500000002</v>
      </c>
      <c r="F65" s="20">
        <v>3049096.17</v>
      </c>
      <c r="G65" s="20">
        <f t="shared" si="1"/>
        <v>4551220.5961328875</v>
      </c>
      <c r="H65" s="20">
        <v>0</v>
      </c>
      <c r="I65" s="20">
        <v>0</v>
      </c>
      <c r="J65" s="20">
        <v>9123.492686446185</v>
      </c>
      <c r="K65" s="20">
        <v>0</v>
      </c>
      <c r="L65" s="20">
        <f t="shared" si="0"/>
        <v>4560344.0888193334</v>
      </c>
    </row>
    <row r="66" spans="1:12">
      <c r="A66" s="23" t="s">
        <v>656</v>
      </c>
      <c r="B66" s="19" t="s">
        <v>2481</v>
      </c>
      <c r="C66" s="19" t="e">
        <f>VLOOKUP(A66,'Distribution Detail'!$A$2:$F$558,5,FALSE)</f>
        <v>#N/A</v>
      </c>
      <c r="D66" s="25">
        <v>291817.11</v>
      </c>
      <c r="E66" s="19">
        <v>0.47391121600000002</v>
      </c>
      <c r="F66" s="20">
        <v>291817.11</v>
      </c>
      <c r="G66" s="20">
        <f t="shared" si="1"/>
        <v>726961.65983617795</v>
      </c>
      <c r="H66" s="20">
        <v>0</v>
      </c>
      <c r="I66" s="20">
        <v>0</v>
      </c>
      <c r="J66" s="20">
        <v>0</v>
      </c>
      <c r="K66" s="20">
        <v>0</v>
      </c>
      <c r="L66" s="20">
        <f t="shared" ref="L66:L129" si="4">SUM(G66:K66)</f>
        <v>726961.65983617795</v>
      </c>
    </row>
    <row r="67" spans="1:12">
      <c r="A67" s="23" t="s">
        <v>658</v>
      </c>
      <c r="B67" s="19" t="s">
        <v>2480</v>
      </c>
      <c r="C67" s="19" t="e">
        <f>VLOOKUP(A67,'Distribution Detail'!$A$2:$F$558,5,FALSE)</f>
        <v>#N/A</v>
      </c>
      <c r="D67" s="25">
        <v>1234056.7</v>
      </c>
      <c r="E67" s="19">
        <v>0.58278998500000001</v>
      </c>
      <c r="F67" s="20">
        <v>932915.69</v>
      </c>
      <c r="G67" s="20">
        <f t="shared" ref="G67:G130" si="5">(F67/(IF(E67&lt;0.25,0.25,E67))/0.920346)/0.920346</f>
        <v>1889853.1503563805</v>
      </c>
      <c r="H67" s="20">
        <v>0</v>
      </c>
      <c r="I67" s="20">
        <v>0</v>
      </c>
      <c r="J67" s="20">
        <v>0</v>
      </c>
      <c r="K67" s="20">
        <v>327204.12757810653</v>
      </c>
      <c r="L67" s="20">
        <f t="shared" si="4"/>
        <v>2217057.277934487</v>
      </c>
    </row>
    <row r="68" spans="1:12">
      <c r="A68" s="23" t="s">
        <v>660</v>
      </c>
      <c r="B68" s="19" t="s">
        <v>2479</v>
      </c>
      <c r="C68" s="19">
        <f>VLOOKUP(A68,'Distribution Detail'!$A$2:$F$558,5,FALSE)</f>
        <v>1</v>
      </c>
      <c r="D68" s="25">
        <v>117321.56</v>
      </c>
      <c r="E68" s="19">
        <v>0.18973900199999999</v>
      </c>
      <c r="F68" s="20">
        <v>117321.56</v>
      </c>
      <c r="G68" s="20">
        <f t="shared" si="5"/>
        <v>554032.9089818314</v>
      </c>
      <c r="H68" s="20">
        <v>0</v>
      </c>
      <c r="I68" s="20">
        <v>0</v>
      </c>
      <c r="J68" s="20">
        <v>0</v>
      </c>
      <c r="K68" s="20">
        <v>0</v>
      </c>
      <c r="L68" s="20">
        <f t="shared" si="4"/>
        <v>554032.9089818314</v>
      </c>
    </row>
    <row r="69" spans="1:12">
      <c r="A69" s="23" t="s">
        <v>661</v>
      </c>
      <c r="B69" s="19" t="s">
        <v>2478</v>
      </c>
      <c r="C69" s="19" t="e">
        <f>VLOOKUP(A69,'Distribution Detail'!$A$2:$F$558,5,FALSE)</f>
        <v>#N/A</v>
      </c>
      <c r="D69" s="25">
        <v>562135.19999999995</v>
      </c>
      <c r="E69" s="19">
        <v>0.62893453499999996</v>
      </c>
      <c r="F69" s="20">
        <v>562135.19999999995</v>
      </c>
      <c r="G69" s="20">
        <f t="shared" si="5"/>
        <v>1055195.8635439544</v>
      </c>
      <c r="H69" s="20">
        <v>0</v>
      </c>
      <c r="I69" s="20">
        <v>0</v>
      </c>
      <c r="J69" s="20">
        <v>0</v>
      </c>
      <c r="K69" s="20">
        <v>0</v>
      </c>
      <c r="L69" s="20">
        <f t="shared" si="4"/>
        <v>1055195.8635439544</v>
      </c>
    </row>
    <row r="70" spans="1:12">
      <c r="A70" s="23" t="s">
        <v>662</v>
      </c>
      <c r="B70" s="19" t="s">
        <v>2477</v>
      </c>
      <c r="C70" s="19" t="e">
        <f>VLOOKUP(A70,'Distribution Detail'!$A$2:$F$558,5,FALSE)</f>
        <v>#N/A</v>
      </c>
      <c r="D70" s="25">
        <v>1320823.04</v>
      </c>
      <c r="E70" s="19">
        <v>0.56568251999999997</v>
      </c>
      <c r="F70" s="20">
        <v>971710.9</v>
      </c>
      <c r="G70" s="20">
        <f t="shared" si="5"/>
        <v>2027972.4797744574</v>
      </c>
      <c r="H70" s="20">
        <v>0</v>
      </c>
      <c r="I70" s="20">
        <v>0</v>
      </c>
      <c r="J70" s="20">
        <v>0</v>
      </c>
      <c r="K70" s="20">
        <v>379327.05743274814</v>
      </c>
      <c r="L70" s="20">
        <f t="shared" si="4"/>
        <v>2407299.5372072058</v>
      </c>
    </row>
    <row r="71" spans="1:12">
      <c r="A71" s="23" t="s">
        <v>664</v>
      </c>
      <c r="B71" s="19" t="s">
        <v>2476</v>
      </c>
      <c r="C71" s="19" t="e">
        <f>VLOOKUP(A71,'Distribution Detail'!$A$2:$F$558,5,FALSE)</f>
        <v>#N/A</v>
      </c>
      <c r="D71" s="25">
        <v>596249.80000000005</v>
      </c>
      <c r="E71" s="19">
        <v>0.47796607200000002</v>
      </c>
      <c r="F71" s="20">
        <v>595316.82999999996</v>
      </c>
      <c r="G71" s="20">
        <f t="shared" si="5"/>
        <v>1470445.1612039625</v>
      </c>
      <c r="H71" s="20">
        <v>0</v>
      </c>
      <c r="I71" s="20">
        <v>1013.7165805034194</v>
      </c>
      <c r="J71" s="20">
        <v>0</v>
      </c>
      <c r="K71" s="20">
        <v>0</v>
      </c>
      <c r="L71" s="20">
        <f t="shared" si="4"/>
        <v>1471458.8777844659</v>
      </c>
    </row>
    <row r="72" spans="1:12">
      <c r="A72" s="23" t="s">
        <v>666</v>
      </c>
      <c r="B72" s="19" t="s">
        <v>2475</v>
      </c>
      <c r="C72" s="19" t="e">
        <f>VLOOKUP(A72,'Distribution Detail'!$A$2:$F$558,5,FALSE)</f>
        <v>#N/A</v>
      </c>
      <c r="D72" s="25">
        <v>524736.41</v>
      </c>
      <c r="E72" s="19">
        <v>0.55906497300000002</v>
      </c>
      <c r="F72" s="20">
        <v>391535.07</v>
      </c>
      <c r="G72" s="20">
        <f t="shared" si="5"/>
        <v>826810.77272722928</v>
      </c>
      <c r="H72" s="20">
        <v>0</v>
      </c>
      <c r="I72" s="20">
        <v>0</v>
      </c>
      <c r="J72" s="20">
        <v>0</v>
      </c>
      <c r="K72" s="20">
        <v>144729.63428971279</v>
      </c>
      <c r="L72" s="20">
        <f t="shared" si="4"/>
        <v>971540.40701694204</v>
      </c>
    </row>
    <row r="73" spans="1:12">
      <c r="A73" s="23" t="s">
        <v>668</v>
      </c>
      <c r="B73" s="19" t="s">
        <v>2474</v>
      </c>
      <c r="C73" s="19" t="e">
        <f>VLOOKUP(A73,'Distribution Detail'!$A$2:$F$558,5,FALSE)</f>
        <v>#N/A</v>
      </c>
      <c r="D73" s="25">
        <v>945121.07</v>
      </c>
      <c r="E73" s="19">
        <v>0.38535175599999999</v>
      </c>
      <c r="F73" s="20">
        <v>944108.47</v>
      </c>
      <c r="G73" s="20">
        <f t="shared" si="5"/>
        <v>2892426.2432919824</v>
      </c>
      <c r="H73" s="20">
        <v>709.60269290027884</v>
      </c>
      <c r="I73" s="20">
        <v>0</v>
      </c>
      <c r="J73" s="20">
        <v>0</v>
      </c>
      <c r="K73" s="20">
        <v>0</v>
      </c>
      <c r="L73" s="20">
        <f t="shared" si="4"/>
        <v>2893135.8459848827</v>
      </c>
    </row>
    <row r="74" spans="1:12">
      <c r="A74" s="23" t="s">
        <v>669</v>
      </c>
      <c r="B74" s="19" t="s">
        <v>2473</v>
      </c>
      <c r="C74" s="19">
        <f>VLOOKUP(A74,'Distribution Detail'!$A$2:$F$558,5,FALSE)</f>
        <v>1</v>
      </c>
      <c r="D74" s="25">
        <v>43756.51</v>
      </c>
      <c r="E74" s="19">
        <v>0.36761638699999999</v>
      </c>
      <c r="F74" s="20">
        <v>0</v>
      </c>
      <c r="G74" s="20">
        <f t="shared" si="5"/>
        <v>0</v>
      </c>
      <c r="H74" s="20">
        <v>47543.543406501471</v>
      </c>
      <c r="I74" s="20">
        <v>0</v>
      </c>
      <c r="J74" s="20">
        <v>0</v>
      </c>
      <c r="K74" s="20">
        <v>0</v>
      </c>
      <c r="L74" s="20">
        <f t="shared" si="4"/>
        <v>47543.543406501471</v>
      </c>
    </row>
    <row r="75" spans="1:12">
      <c r="A75" s="23" t="s">
        <v>671</v>
      </c>
      <c r="B75" s="19" t="s">
        <v>2472</v>
      </c>
      <c r="C75" s="19">
        <f>VLOOKUP(A75,'Distribution Detail'!$A$2:$F$558,5,FALSE)</f>
        <v>1</v>
      </c>
      <c r="D75" s="25">
        <v>911182.45</v>
      </c>
      <c r="E75" s="19">
        <v>0.49956126200000001</v>
      </c>
      <c r="F75" s="20">
        <v>911182.45</v>
      </c>
      <c r="G75" s="20">
        <f t="shared" si="5"/>
        <v>2153348.5588777349</v>
      </c>
      <c r="H75" s="20">
        <v>0</v>
      </c>
      <c r="I75" s="20">
        <v>0</v>
      </c>
      <c r="J75" s="20">
        <v>0</v>
      </c>
      <c r="K75" s="20">
        <v>0</v>
      </c>
      <c r="L75" s="20">
        <f t="shared" si="4"/>
        <v>2153348.5588777349</v>
      </c>
    </row>
    <row r="76" spans="1:12">
      <c r="A76" s="23" t="s">
        <v>673</v>
      </c>
      <c r="B76" s="19" t="s">
        <v>2471</v>
      </c>
      <c r="C76" s="19" t="e">
        <f>VLOOKUP(A76,'Distribution Detail'!$A$2:$F$558,5,FALSE)</f>
        <v>#N/A</v>
      </c>
      <c r="D76" s="25">
        <v>1521887.96</v>
      </c>
      <c r="E76" s="19">
        <v>0.43753822999999997</v>
      </c>
      <c r="F76" s="20">
        <v>1521887.96</v>
      </c>
      <c r="G76" s="20">
        <f t="shared" si="5"/>
        <v>4106429.9370614309</v>
      </c>
      <c r="H76" s="20">
        <v>0</v>
      </c>
      <c r="I76" s="20">
        <v>0</v>
      </c>
      <c r="J76" s="20">
        <v>0</v>
      </c>
      <c r="K76" s="20">
        <v>0</v>
      </c>
      <c r="L76" s="20">
        <f t="shared" si="4"/>
        <v>4106429.9370614309</v>
      </c>
    </row>
    <row r="77" spans="1:12">
      <c r="A77" s="23" t="s">
        <v>675</v>
      </c>
      <c r="B77" s="19" t="s">
        <v>2470</v>
      </c>
      <c r="C77" s="19">
        <f>VLOOKUP(A77,'Distribution Detail'!$A$2:$F$558,5,FALSE)</f>
        <v>1</v>
      </c>
      <c r="D77" s="25">
        <v>582637.93000000005</v>
      </c>
      <c r="E77" s="19">
        <v>0.89984861699999996</v>
      </c>
      <c r="F77" s="20">
        <v>582637.93000000005</v>
      </c>
      <c r="G77" s="20">
        <f t="shared" si="5"/>
        <v>764411.20102864644</v>
      </c>
      <c r="H77" s="20">
        <v>0</v>
      </c>
      <c r="I77" s="20">
        <v>0</v>
      </c>
      <c r="J77" s="20">
        <v>0</v>
      </c>
      <c r="K77" s="20">
        <v>0</v>
      </c>
      <c r="L77" s="20">
        <f t="shared" si="4"/>
        <v>764411.20102864644</v>
      </c>
    </row>
    <row r="78" spans="1:12">
      <c r="A78" s="23" t="s">
        <v>677</v>
      </c>
      <c r="B78" s="19" t="s">
        <v>2469</v>
      </c>
      <c r="C78" s="19" t="e">
        <f>VLOOKUP(A78,'Distribution Detail'!$A$2:$F$558,5,FALSE)</f>
        <v>#N/A</v>
      </c>
      <c r="D78" s="25">
        <v>9986.35</v>
      </c>
      <c r="E78" s="19">
        <v>0.66898594499999997</v>
      </c>
      <c r="F78" s="20">
        <v>9986.35</v>
      </c>
      <c r="G78" s="20">
        <f t="shared" si="5"/>
        <v>17623.312050842702</v>
      </c>
      <c r="H78" s="20">
        <v>0</v>
      </c>
      <c r="I78" s="20">
        <v>0</v>
      </c>
      <c r="J78" s="20">
        <v>0</v>
      </c>
      <c r="K78" s="20">
        <v>0</v>
      </c>
      <c r="L78" s="20">
        <f t="shared" si="4"/>
        <v>17623.312050842702</v>
      </c>
    </row>
    <row r="79" spans="1:12">
      <c r="A79" s="23" t="s">
        <v>679</v>
      </c>
      <c r="B79" s="19" t="s">
        <v>2468</v>
      </c>
      <c r="C79" s="19" t="e">
        <f>VLOOKUP(A79,'Distribution Detail'!$A$2:$F$558,5,FALSE)</f>
        <v>#N/A</v>
      </c>
      <c r="D79" s="25">
        <v>2368454.16</v>
      </c>
      <c r="E79" s="19">
        <v>0.53089191800000002</v>
      </c>
      <c r="F79" s="20">
        <v>1696678.7</v>
      </c>
      <c r="G79" s="20">
        <f t="shared" si="5"/>
        <v>3773038.4897396397</v>
      </c>
      <c r="H79" s="20">
        <v>0</v>
      </c>
      <c r="I79" s="20">
        <v>0</v>
      </c>
      <c r="J79" s="20">
        <v>0</v>
      </c>
      <c r="K79" s="20">
        <v>729916.20542708936</v>
      </c>
      <c r="L79" s="20">
        <f t="shared" si="4"/>
        <v>4502954.6951667294</v>
      </c>
    </row>
    <row r="80" spans="1:12">
      <c r="A80" s="23" t="s">
        <v>681</v>
      </c>
      <c r="B80" s="19" t="s">
        <v>2467</v>
      </c>
      <c r="C80" s="19" t="e">
        <f>VLOOKUP(A80,'Distribution Detail'!$A$2:$F$558,5,FALSE)</f>
        <v>#N/A</v>
      </c>
      <c r="D80" s="25">
        <v>484365.61</v>
      </c>
      <c r="E80" s="19">
        <v>0.44907501500000002</v>
      </c>
      <c r="F80" s="20">
        <v>439924.37</v>
      </c>
      <c r="G80" s="20">
        <f t="shared" si="5"/>
        <v>1156529.9114080623</v>
      </c>
      <c r="H80" s="20">
        <v>0</v>
      </c>
      <c r="I80" s="20">
        <v>0</v>
      </c>
      <c r="J80" s="20">
        <v>0</v>
      </c>
      <c r="K80" s="20">
        <v>48287.535339969967</v>
      </c>
      <c r="L80" s="20">
        <f t="shared" si="4"/>
        <v>1204817.4467480322</v>
      </c>
    </row>
    <row r="81" spans="1:12">
      <c r="A81" s="23" t="s">
        <v>683</v>
      </c>
      <c r="B81" s="19" t="s">
        <v>2466</v>
      </c>
      <c r="C81" s="19" t="e">
        <f>VLOOKUP(A81,'Distribution Detail'!$A$2:$F$558,5,FALSE)</f>
        <v>#N/A</v>
      </c>
      <c r="D81" s="25">
        <v>850893.51</v>
      </c>
      <c r="E81" s="19">
        <v>0.86941224900000003</v>
      </c>
      <c r="F81" s="20">
        <v>850893.51</v>
      </c>
      <c r="G81" s="20">
        <f t="shared" si="5"/>
        <v>1155439.4681349809</v>
      </c>
      <c r="H81" s="20">
        <v>0</v>
      </c>
      <c r="I81" s="20">
        <v>0</v>
      </c>
      <c r="J81" s="20">
        <v>0</v>
      </c>
      <c r="K81" s="20">
        <v>0</v>
      </c>
      <c r="L81" s="20">
        <f t="shared" si="4"/>
        <v>1155439.4681349809</v>
      </c>
    </row>
    <row r="82" spans="1:12">
      <c r="A82" s="23" t="s">
        <v>685</v>
      </c>
      <c r="B82" s="19" t="s">
        <v>2465</v>
      </c>
      <c r="C82" s="19" t="e">
        <f>VLOOKUP(A82,'Distribution Detail'!$A$2:$F$558,5,FALSE)</f>
        <v>#N/A</v>
      </c>
      <c r="D82" s="25">
        <v>958478.29</v>
      </c>
      <c r="E82" s="19">
        <v>0.35535657799999998</v>
      </c>
      <c r="F82" s="20">
        <v>958478.29</v>
      </c>
      <c r="G82" s="20">
        <f t="shared" si="5"/>
        <v>3184312.3632238409</v>
      </c>
      <c r="H82" s="20">
        <v>0</v>
      </c>
      <c r="I82" s="20">
        <v>0</v>
      </c>
      <c r="J82" s="20">
        <v>0</v>
      </c>
      <c r="K82" s="20">
        <v>0</v>
      </c>
      <c r="L82" s="20">
        <f t="shared" si="4"/>
        <v>3184312.3632238409</v>
      </c>
    </row>
    <row r="83" spans="1:12">
      <c r="A83" s="23" t="s">
        <v>687</v>
      </c>
      <c r="B83" s="19" t="s">
        <v>2464</v>
      </c>
      <c r="C83" s="19" t="e">
        <f>VLOOKUP(A83,'Distribution Detail'!$A$2:$F$558,5,FALSE)</f>
        <v>#N/A</v>
      </c>
      <c r="D83" s="25">
        <v>162570.82999999999</v>
      </c>
      <c r="E83" s="19">
        <v>0.18543294399999999</v>
      </c>
      <c r="F83" s="20">
        <v>162570.82999999999</v>
      </c>
      <c r="G83" s="20">
        <f t="shared" si="5"/>
        <v>767715.58322690881</v>
      </c>
      <c r="H83" s="20">
        <v>0</v>
      </c>
      <c r="I83" s="20">
        <v>0</v>
      </c>
      <c r="J83" s="20">
        <v>0</v>
      </c>
      <c r="K83" s="20">
        <v>0</v>
      </c>
      <c r="L83" s="20">
        <f t="shared" si="4"/>
        <v>767715.58322690881</v>
      </c>
    </row>
    <row r="84" spans="1:12">
      <c r="A84" s="23" t="s">
        <v>689</v>
      </c>
      <c r="B84" s="19" t="s">
        <v>2463</v>
      </c>
      <c r="C84" s="19" t="e">
        <f>VLOOKUP(A84,'Distribution Detail'!$A$2:$F$558,5,FALSE)</f>
        <v>#N/A</v>
      </c>
      <c r="D84" s="25">
        <v>1275018.97</v>
      </c>
      <c r="E84" s="19">
        <v>0.749241771</v>
      </c>
      <c r="F84" s="20">
        <v>1275018.97</v>
      </c>
      <c r="G84" s="20">
        <f t="shared" si="5"/>
        <v>2009057.6838346901</v>
      </c>
      <c r="H84" s="20">
        <v>0</v>
      </c>
      <c r="I84" s="20">
        <v>0</v>
      </c>
      <c r="J84" s="20">
        <v>0</v>
      </c>
      <c r="K84" s="20">
        <v>0</v>
      </c>
      <c r="L84" s="20">
        <f t="shared" si="4"/>
        <v>2009057.6838346901</v>
      </c>
    </row>
    <row r="85" spans="1:12">
      <c r="A85" s="23" t="s">
        <v>691</v>
      </c>
      <c r="B85" s="19" t="s">
        <v>2462</v>
      </c>
      <c r="C85" s="19">
        <f>VLOOKUP(A85,'Distribution Detail'!$A$2:$F$558,5,FALSE)</f>
        <v>1</v>
      </c>
      <c r="D85" s="25">
        <v>690827.06</v>
      </c>
      <c r="E85" s="19">
        <v>0.83667393199999995</v>
      </c>
      <c r="F85" s="20">
        <v>690046.47</v>
      </c>
      <c r="G85" s="20">
        <f t="shared" si="5"/>
        <v>973688.05514299159</v>
      </c>
      <c r="H85" s="20">
        <v>0</v>
      </c>
      <c r="I85" s="20">
        <v>0</v>
      </c>
      <c r="J85" s="20">
        <v>0</v>
      </c>
      <c r="K85" s="20">
        <v>0</v>
      </c>
      <c r="L85" s="20">
        <f t="shared" si="4"/>
        <v>973688.05514299159</v>
      </c>
    </row>
    <row r="86" spans="1:12">
      <c r="A86" s="23" t="s">
        <v>693</v>
      </c>
      <c r="B86" s="19" t="s">
        <v>2461</v>
      </c>
      <c r="C86" s="19" t="e">
        <f>VLOOKUP(A86,'Distribution Detail'!$A$2:$F$558,5,FALSE)</f>
        <v>#N/A</v>
      </c>
      <c r="D86" s="25">
        <v>88865.84</v>
      </c>
      <c r="E86" s="19">
        <v>0.233155209</v>
      </c>
      <c r="F86" s="20">
        <v>88865.84</v>
      </c>
      <c r="G86" s="20">
        <f t="shared" si="5"/>
        <v>419655.17543675675</v>
      </c>
      <c r="H86" s="20">
        <v>0</v>
      </c>
      <c r="I86" s="20">
        <v>0</v>
      </c>
      <c r="J86" s="20">
        <v>0</v>
      </c>
      <c r="K86" s="20">
        <v>0</v>
      </c>
      <c r="L86" s="20">
        <f t="shared" si="4"/>
        <v>419655.17543675675</v>
      </c>
    </row>
    <row r="87" spans="1:12">
      <c r="A87" s="23" t="s">
        <v>695</v>
      </c>
      <c r="B87" s="19" t="s">
        <v>2460</v>
      </c>
      <c r="C87" s="19" t="e">
        <f>VLOOKUP(A87,'Distribution Detail'!$A$2:$F$558,5,FALSE)</f>
        <v>#N/A</v>
      </c>
      <c r="D87" s="25">
        <v>478224.95</v>
      </c>
      <c r="E87" s="19">
        <v>0.38210275199999999</v>
      </c>
      <c r="F87" s="20">
        <v>413117.52</v>
      </c>
      <c r="G87" s="20">
        <f t="shared" si="5"/>
        <v>1276412.9143754204</v>
      </c>
      <c r="H87" s="20">
        <v>0</v>
      </c>
      <c r="I87" s="20">
        <v>0</v>
      </c>
      <c r="J87" s="20">
        <v>0</v>
      </c>
      <c r="K87" s="20">
        <v>70742.340380682916</v>
      </c>
      <c r="L87" s="20">
        <f t="shared" si="4"/>
        <v>1347155.2547561033</v>
      </c>
    </row>
    <row r="88" spans="1:12">
      <c r="A88" s="23" t="s">
        <v>697</v>
      </c>
      <c r="B88" s="19" t="s">
        <v>2459</v>
      </c>
      <c r="C88" s="19" t="e">
        <f>VLOOKUP(A88,'Distribution Detail'!$A$2:$F$558,5,FALSE)</f>
        <v>#N/A</v>
      </c>
      <c r="D88" s="25">
        <v>910875.41</v>
      </c>
      <c r="E88" s="19">
        <v>0.81291687700000004</v>
      </c>
      <c r="F88" s="20">
        <v>910875.41</v>
      </c>
      <c r="G88" s="20">
        <f t="shared" si="5"/>
        <v>1322849.9331293355</v>
      </c>
      <c r="H88" s="20">
        <v>0</v>
      </c>
      <c r="I88" s="20">
        <v>0</v>
      </c>
      <c r="J88" s="20">
        <v>0</v>
      </c>
      <c r="K88" s="20">
        <v>0</v>
      </c>
      <c r="L88" s="20">
        <f t="shared" si="4"/>
        <v>1322849.9331293355</v>
      </c>
    </row>
    <row r="89" spans="1:12">
      <c r="A89" s="23" t="s">
        <v>699</v>
      </c>
      <c r="B89" s="19" t="s">
        <v>2458</v>
      </c>
      <c r="C89" s="19">
        <f>VLOOKUP(A89,'Distribution Detail'!$A$2:$F$558,5,FALSE)</f>
        <v>1</v>
      </c>
      <c r="D89" s="25">
        <v>674605.77</v>
      </c>
      <c r="E89" s="19">
        <v>0.65141422500000001</v>
      </c>
      <c r="F89" s="20">
        <v>674605.77</v>
      </c>
      <c r="G89" s="20">
        <f t="shared" si="5"/>
        <v>1222617.3517292624</v>
      </c>
      <c r="H89" s="20">
        <v>0</v>
      </c>
      <c r="I89" s="20">
        <v>0</v>
      </c>
      <c r="J89" s="20">
        <v>0</v>
      </c>
      <c r="K89" s="20">
        <v>0</v>
      </c>
      <c r="L89" s="20">
        <f t="shared" si="4"/>
        <v>1222617.3517292624</v>
      </c>
    </row>
    <row r="90" spans="1:12">
      <c r="A90" s="23" t="s">
        <v>701</v>
      </c>
      <c r="B90" s="19" t="s">
        <v>2457</v>
      </c>
      <c r="C90" s="19" t="e">
        <f>VLOOKUP(A90,'Distribution Detail'!$A$2:$F$558,5,FALSE)</f>
        <v>#N/A</v>
      </c>
      <c r="D90" s="25">
        <v>1299302.6200000001</v>
      </c>
      <c r="E90" s="19">
        <v>0.691825727</v>
      </c>
      <c r="F90" s="20">
        <v>1299302.6200000001</v>
      </c>
      <c r="G90" s="20">
        <f t="shared" si="5"/>
        <v>2217233.0716896178</v>
      </c>
      <c r="H90" s="20">
        <v>0</v>
      </c>
      <c r="I90" s="20">
        <v>0</v>
      </c>
      <c r="J90" s="20">
        <v>0</v>
      </c>
      <c r="K90" s="20">
        <v>0</v>
      </c>
      <c r="L90" s="20">
        <f t="shared" si="4"/>
        <v>2217233.0716896178</v>
      </c>
    </row>
    <row r="91" spans="1:12">
      <c r="A91" s="23" t="s">
        <v>703</v>
      </c>
      <c r="B91" s="19" t="s">
        <v>2456</v>
      </c>
      <c r="C91" s="19" t="e">
        <f>VLOOKUP(A91,'Distribution Detail'!$A$2:$F$558,5,FALSE)</f>
        <v>#N/A</v>
      </c>
      <c r="D91" s="25">
        <v>339847.96</v>
      </c>
      <c r="E91" s="19">
        <v>0.38776115</v>
      </c>
      <c r="F91" s="20">
        <v>336809.09</v>
      </c>
      <c r="G91" s="20">
        <f t="shared" si="5"/>
        <v>1025456.5206150666</v>
      </c>
      <c r="H91" s="20">
        <v>0</v>
      </c>
      <c r="I91" s="20">
        <v>0</v>
      </c>
      <c r="J91" s="20">
        <v>0</v>
      </c>
      <c r="K91" s="20">
        <v>0</v>
      </c>
      <c r="L91" s="20">
        <f t="shared" si="4"/>
        <v>1025456.5206150666</v>
      </c>
    </row>
    <row r="92" spans="1:12">
      <c r="A92" s="23" t="s">
        <v>705</v>
      </c>
      <c r="B92" s="19" t="s">
        <v>2455</v>
      </c>
      <c r="C92" s="19">
        <f>VLOOKUP(A92,'Distribution Detail'!$A$2:$F$558,5,FALSE)</f>
        <v>1</v>
      </c>
      <c r="D92" s="25">
        <v>429441.81</v>
      </c>
      <c r="E92" s="19">
        <v>0.05</v>
      </c>
      <c r="F92" s="20">
        <v>429441.81</v>
      </c>
      <c r="G92" s="20">
        <f t="shared" si="5"/>
        <v>2027972.4820631684</v>
      </c>
      <c r="H92" s="20">
        <v>0</v>
      </c>
      <c r="I92" s="20">
        <v>0</v>
      </c>
      <c r="J92" s="20">
        <v>0</v>
      </c>
      <c r="K92" s="20">
        <v>0</v>
      </c>
      <c r="L92" s="20">
        <f t="shared" si="4"/>
        <v>2027972.4820631684</v>
      </c>
    </row>
    <row r="93" spans="1:12">
      <c r="A93" s="23" t="s">
        <v>707</v>
      </c>
      <c r="B93" s="19" t="s">
        <v>1858</v>
      </c>
      <c r="C93" s="19" t="e">
        <f>VLOOKUP(A93,'Distribution Detail'!$A$2:$F$558,5,FALSE)</f>
        <v>#N/A</v>
      </c>
      <c r="D93" s="25">
        <v>911728.83</v>
      </c>
      <c r="E93" s="19">
        <v>0.352662541</v>
      </c>
      <c r="F93" s="20">
        <v>911728.83</v>
      </c>
      <c r="G93" s="20">
        <f t="shared" si="5"/>
        <v>3052137.5173362442</v>
      </c>
      <c r="H93" s="20">
        <v>0</v>
      </c>
      <c r="I93" s="20">
        <v>0</v>
      </c>
      <c r="J93" s="20">
        <v>0</v>
      </c>
      <c r="K93" s="20">
        <v>0</v>
      </c>
      <c r="L93" s="20">
        <f t="shared" si="4"/>
        <v>3052137.5173362442</v>
      </c>
    </row>
    <row r="94" spans="1:12">
      <c r="A94" s="23" t="s">
        <v>708</v>
      </c>
      <c r="B94" s="19" t="s">
        <v>2454</v>
      </c>
      <c r="C94" s="19" t="e">
        <f>VLOOKUP(A94,'Distribution Detail'!$A$2:$F$558,5,FALSE)</f>
        <v>#N/A</v>
      </c>
      <c r="D94" s="25">
        <v>1007607.84</v>
      </c>
      <c r="E94" s="19">
        <v>0.42976319099999999</v>
      </c>
      <c r="F94" s="20">
        <v>1007607.84</v>
      </c>
      <c r="G94" s="20">
        <f t="shared" si="5"/>
        <v>2767961.6206933362</v>
      </c>
      <c r="H94" s="20">
        <v>0</v>
      </c>
      <c r="I94" s="20">
        <v>0</v>
      </c>
      <c r="J94" s="20">
        <v>0</v>
      </c>
      <c r="K94" s="20">
        <v>0</v>
      </c>
      <c r="L94" s="20">
        <f t="shared" si="4"/>
        <v>2767961.6206933362</v>
      </c>
    </row>
    <row r="95" spans="1:12">
      <c r="A95" s="23" t="s">
        <v>710</v>
      </c>
      <c r="B95" s="19" t="s">
        <v>2453</v>
      </c>
      <c r="C95" s="19">
        <f>VLOOKUP(A95,'Distribution Detail'!$A$2:$F$558,5,FALSE)</f>
        <v>1</v>
      </c>
      <c r="D95" s="25">
        <v>2307032.98</v>
      </c>
      <c r="E95" s="19">
        <v>0.70569960600000003</v>
      </c>
      <c r="F95" s="20">
        <v>2307032.98</v>
      </c>
      <c r="G95" s="20">
        <f t="shared" si="5"/>
        <v>3859505.549814831</v>
      </c>
      <c r="H95" s="20">
        <v>0</v>
      </c>
      <c r="I95" s="20">
        <v>0</v>
      </c>
      <c r="J95" s="20">
        <v>0</v>
      </c>
      <c r="K95" s="20">
        <v>0</v>
      </c>
      <c r="L95" s="20">
        <f t="shared" si="4"/>
        <v>3859505.549814831</v>
      </c>
    </row>
    <row r="96" spans="1:12">
      <c r="A96" s="23" t="s">
        <v>712</v>
      </c>
      <c r="B96" s="19" t="s">
        <v>2452</v>
      </c>
      <c r="C96" s="19" t="e">
        <f>VLOOKUP(A96,'Distribution Detail'!$A$2:$F$558,5,FALSE)</f>
        <v>#N/A</v>
      </c>
      <c r="D96" s="25">
        <v>1057503.4099999999</v>
      </c>
      <c r="E96" s="19">
        <v>0.80588127200000004</v>
      </c>
      <c r="F96" s="20">
        <v>1032313.09</v>
      </c>
      <c r="G96" s="20">
        <f t="shared" si="5"/>
        <v>1512300.5594977513</v>
      </c>
      <c r="H96" s="20">
        <v>0</v>
      </c>
      <c r="I96" s="20">
        <v>8109.7761059427648</v>
      </c>
      <c r="J96" s="20">
        <v>19260.712818874643</v>
      </c>
      <c r="K96" s="20">
        <v>0</v>
      </c>
      <c r="L96" s="20">
        <f t="shared" si="4"/>
        <v>1539671.0484225687</v>
      </c>
    </row>
    <row r="97" spans="1:12">
      <c r="A97" s="23" t="s">
        <v>714</v>
      </c>
      <c r="B97" s="19" t="s">
        <v>2451</v>
      </c>
      <c r="C97" s="19" t="e">
        <f>VLOOKUP(A97,'Distribution Detail'!$A$2:$F$558,5,FALSE)</f>
        <v>#N/A</v>
      </c>
      <c r="D97" s="25">
        <v>963835.25</v>
      </c>
      <c r="E97" s="19">
        <v>0.46864778099999999</v>
      </c>
      <c r="F97" s="20">
        <v>792272.52</v>
      </c>
      <c r="G97" s="20">
        <f t="shared" si="5"/>
        <v>1995840.2160470746</v>
      </c>
      <c r="H97" s="20">
        <v>1064.4040393504183</v>
      </c>
      <c r="I97" s="20">
        <v>0</v>
      </c>
      <c r="J97" s="20">
        <v>0</v>
      </c>
      <c r="K97" s="20">
        <v>185346.71743018384</v>
      </c>
      <c r="L97" s="20">
        <f t="shared" si="4"/>
        <v>2182251.3375166086</v>
      </c>
    </row>
    <row r="98" spans="1:12">
      <c r="A98" s="23" t="s">
        <v>716</v>
      </c>
      <c r="B98" s="19" t="s">
        <v>2450</v>
      </c>
      <c r="C98" s="19" t="e">
        <f>VLOOKUP(A98,'Distribution Detail'!$A$2:$F$558,5,FALSE)</f>
        <v>#N/A</v>
      </c>
      <c r="D98" s="25">
        <v>517382.77</v>
      </c>
      <c r="E98" s="19">
        <v>0.43558504199999998</v>
      </c>
      <c r="F98" s="20">
        <v>368595.54</v>
      </c>
      <c r="G98" s="20">
        <f t="shared" si="5"/>
        <v>999021.55805684754</v>
      </c>
      <c r="H98" s="20">
        <v>0</v>
      </c>
      <c r="I98" s="20">
        <v>0</v>
      </c>
      <c r="J98" s="20">
        <v>0</v>
      </c>
      <c r="K98" s="20">
        <v>161664.45010898076</v>
      </c>
      <c r="L98" s="20">
        <f t="shared" si="4"/>
        <v>1160686.0081658284</v>
      </c>
    </row>
    <row r="99" spans="1:12">
      <c r="A99" s="23" t="s">
        <v>718</v>
      </c>
      <c r="B99" s="19" t="s">
        <v>2449</v>
      </c>
      <c r="C99" s="19">
        <f>VLOOKUP(A99,'Distribution Detail'!$A$2:$F$558,5,FALSE)</f>
        <v>1</v>
      </c>
      <c r="D99" s="25">
        <v>586567.26</v>
      </c>
      <c r="E99" s="19">
        <v>0.72308157500000003</v>
      </c>
      <c r="F99" s="20">
        <v>476279.43</v>
      </c>
      <c r="G99" s="20">
        <f t="shared" si="5"/>
        <v>777628.68364844995</v>
      </c>
      <c r="H99" s="20">
        <v>0</v>
      </c>
      <c r="I99" s="20">
        <v>0</v>
      </c>
      <c r="J99" s="20">
        <v>0</v>
      </c>
      <c r="K99" s="20">
        <v>119833.00845551565</v>
      </c>
      <c r="L99" s="20">
        <f t="shared" si="4"/>
        <v>897461.69210396556</v>
      </c>
    </row>
    <row r="100" spans="1:12">
      <c r="A100" s="23" t="s">
        <v>720</v>
      </c>
      <c r="B100" s="19" t="s">
        <v>2448</v>
      </c>
      <c r="C100" s="19" t="e">
        <f>VLOOKUP(A100,'Distribution Detail'!$A$2:$F$558,5,FALSE)</f>
        <v>#N/A</v>
      </c>
      <c r="D100" s="25">
        <v>1438048.06</v>
      </c>
      <c r="E100" s="19">
        <v>0.59998371800000005</v>
      </c>
      <c r="F100" s="20">
        <v>1437488.29</v>
      </c>
      <c r="G100" s="20">
        <f t="shared" si="5"/>
        <v>2828541.7431413867</v>
      </c>
      <c r="H100" s="20">
        <v>0</v>
      </c>
      <c r="I100" s="20">
        <v>0</v>
      </c>
      <c r="J100" s="20">
        <v>0</v>
      </c>
      <c r="K100" s="20">
        <v>0</v>
      </c>
      <c r="L100" s="20">
        <f t="shared" si="4"/>
        <v>2828541.7431413867</v>
      </c>
    </row>
    <row r="101" spans="1:12">
      <c r="A101" s="23" t="s">
        <v>722</v>
      </c>
      <c r="B101" s="19" t="s">
        <v>2447</v>
      </c>
      <c r="C101" s="19" t="e">
        <f>VLOOKUP(A101,'Distribution Detail'!$A$2:$F$558,5,FALSE)</f>
        <v>#N/A</v>
      </c>
      <c r="D101" s="25">
        <v>53801.68</v>
      </c>
      <c r="E101" s="19">
        <v>0.73931820800000003</v>
      </c>
      <c r="F101" s="20">
        <v>53801.68</v>
      </c>
      <c r="G101" s="20">
        <f t="shared" si="5"/>
        <v>85913.651268617425</v>
      </c>
      <c r="H101" s="20">
        <v>0</v>
      </c>
      <c r="I101" s="20">
        <v>0</v>
      </c>
      <c r="J101" s="20">
        <v>0</v>
      </c>
      <c r="K101" s="20">
        <v>0</v>
      </c>
      <c r="L101" s="20">
        <f t="shared" si="4"/>
        <v>85913.651268617425</v>
      </c>
    </row>
    <row r="102" spans="1:12">
      <c r="A102" s="23" t="s">
        <v>724</v>
      </c>
      <c r="B102" s="19" t="s">
        <v>2446</v>
      </c>
      <c r="C102" s="19" t="e">
        <f>VLOOKUP(A102,'Distribution Detail'!$A$2:$F$558,5,FALSE)</f>
        <v>#N/A</v>
      </c>
      <c r="D102" s="25">
        <v>1173412.5</v>
      </c>
      <c r="E102" s="19">
        <v>0.73800374099999999</v>
      </c>
      <c r="F102" s="20">
        <v>949746.94</v>
      </c>
      <c r="G102" s="20">
        <f t="shared" si="5"/>
        <v>1519312.396584681</v>
      </c>
      <c r="H102" s="20">
        <v>0</v>
      </c>
      <c r="I102" s="20">
        <v>0</v>
      </c>
      <c r="J102" s="20">
        <v>0</v>
      </c>
      <c r="K102" s="20">
        <v>243023.34122167097</v>
      </c>
      <c r="L102" s="20">
        <f t="shared" si="4"/>
        <v>1762335.7378063519</v>
      </c>
    </row>
    <row r="103" spans="1:12">
      <c r="A103" s="23" t="s">
        <v>725</v>
      </c>
      <c r="B103" s="19" t="s">
        <v>2445</v>
      </c>
      <c r="C103" s="19" t="e">
        <f>VLOOKUP(A103,'Distribution Detail'!$A$2:$F$558,5,FALSE)</f>
        <v>#N/A</v>
      </c>
      <c r="D103" s="25">
        <v>356223.26</v>
      </c>
      <c r="E103" s="19">
        <v>0.48422027499999998</v>
      </c>
      <c r="F103" s="20">
        <v>341071.84</v>
      </c>
      <c r="G103" s="20">
        <f t="shared" si="5"/>
        <v>831573.48995481001</v>
      </c>
      <c r="H103" s="20">
        <v>0</v>
      </c>
      <c r="I103" s="20">
        <v>0</v>
      </c>
      <c r="J103" s="20">
        <v>0</v>
      </c>
      <c r="K103" s="20">
        <v>16462.743359562599</v>
      </c>
      <c r="L103" s="20">
        <f t="shared" si="4"/>
        <v>848036.2333143726</v>
      </c>
    </row>
    <row r="104" spans="1:12">
      <c r="A104" s="23" t="s">
        <v>727</v>
      </c>
      <c r="B104" s="19" t="s">
        <v>2444</v>
      </c>
      <c r="C104" s="19" t="e">
        <f>VLOOKUP(A104,'Distribution Detail'!$A$2:$F$558,5,FALSE)</f>
        <v>#N/A</v>
      </c>
      <c r="D104" s="25">
        <v>688852.26</v>
      </c>
      <c r="E104" s="19">
        <v>0.73393614600000001</v>
      </c>
      <c r="F104" s="20">
        <v>686113.29</v>
      </c>
      <c r="G104" s="20">
        <f t="shared" si="5"/>
        <v>1103659.9840487605</v>
      </c>
      <c r="H104" s="20">
        <v>0</v>
      </c>
      <c r="I104" s="20">
        <v>0</v>
      </c>
      <c r="J104" s="20">
        <v>0</v>
      </c>
      <c r="K104" s="20">
        <v>0</v>
      </c>
      <c r="L104" s="20">
        <f t="shared" si="4"/>
        <v>1103659.9840487605</v>
      </c>
    </row>
    <row r="105" spans="1:12">
      <c r="A105" s="23" t="s">
        <v>729</v>
      </c>
      <c r="B105" s="19" t="s">
        <v>2443</v>
      </c>
      <c r="C105" s="19" t="e">
        <f>VLOOKUP(A105,'Distribution Detail'!$A$2:$F$558,5,FALSE)</f>
        <v>#N/A</v>
      </c>
      <c r="D105" s="25">
        <v>749953.03</v>
      </c>
      <c r="E105" s="19">
        <v>0.41844353899999998</v>
      </c>
      <c r="F105" s="20">
        <v>749953.03</v>
      </c>
      <c r="G105" s="20">
        <f t="shared" si="5"/>
        <v>2115899.0294987322</v>
      </c>
      <c r="H105" s="20">
        <v>0</v>
      </c>
      <c r="I105" s="20">
        <v>0</v>
      </c>
      <c r="J105" s="20">
        <v>0</v>
      </c>
      <c r="K105" s="20">
        <v>0</v>
      </c>
      <c r="L105" s="20">
        <f t="shared" si="4"/>
        <v>2115899.0294987322</v>
      </c>
    </row>
    <row r="106" spans="1:12">
      <c r="A106" s="23" t="s">
        <v>731</v>
      </c>
      <c r="B106" s="19" t="s">
        <v>2442</v>
      </c>
      <c r="C106" s="19" t="e">
        <f>VLOOKUP(A106,'Distribution Detail'!$A$2:$F$558,5,FALSE)</f>
        <v>#N/A</v>
      </c>
      <c r="D106" s="25">
        <v>34384.67</v>
      </c>
      <c r="E106" s="19">
        <v>0.83761101800000004</v>
      </c>
      <c r="F106" s="20">
        <v>34384.67</v>
      </c>
      <c r="G106" s="20">
        <f t="shared" si="5"/>
        <v>48464.107680627232</v>
      </c>
      <c r="H106" s="20">
        <v>0</v>
      </c>
      <c r="I106" s="20">
        <v>0</v>
      </c>
      <c r="J106" s="20">
        <v>0</v>
      </c>
      <c r="K106" s="20">
        <v>0</v>
      </c>
      <c r="L106" s="20">
        <f t="shared" si="4"/>
        <v>48464.107680627232</v>
      </c>
    </row>
    <row r="107" spans="1:12">
      <c r="A107" s="23" t="s">
        <v>733</v>
      </c>
      <c r="B107" s="19" t="s">
        <v>2441</v>
      </c>
      <c r="C107" s="19">
        <f>VLOOKUP(A107,'Distribution Detail'!$A$2:$F$558,5,FALSE)</f>
        <v>1</v>
      </c>
      <c r="D107" s="25">
        <v>419032.47</v>
      </c>
      <c r="E107" s="19">
        <v>0.29704760699999999</v>
      </c>
      <c r="F107" s="20">
        <v>419032.47</v>
      </c>
      <c r="G107" s="20">
        <f t="shared" si="5"/>
        <v>1665403.0686988647</v>
      </c>
      <c r="H107" s="20">
        <v>0</v>
      </c>
      <c r="I107" s="20">
        <v>0</v>
      </c>
      <c r="J107" s="20">
        <v>0</v>
      </c>
      <c r="K107" s="20">
        <v>0</v>
      </c>
      <c r="L107" s="20">
        <f t="shared" si="4"/>
        <v>1665403.0686988647</v>
      </c>
    </row>
    <row r="108" spans="1:12">
      <c r="A108" s="23" t="s">
        <v>735</v>
      </c>
      <c r="B108" s="19" t="s">
        <v>2440</v>
      </c>
      <c r="C108" s="19" t="e">
        <f>VLOOKUP(A108,'Distribution Detail'!$A$2:$F$558,5,FALSE)</f>
        <v>#N/A</v>
      </c>
      <c r="D108" s="25">
        <v>689694.17</v>
      </c>
      <c r="E108" s="19">
        <v>0.35286021200000001</v>
      </c>
      <c r="F108" s="20">
        <v>689694.17</v>
      </c>
      <c r="G108" s="20">
        <f t="shared" si="5"/>
        <v>2307552.5814227615</v>
      </c>
      <c r="H108" s="20">
        <v>0</v>
      </c>
      <c r="I108" s="20">
        <v>0</v>
      </c>
      <c r="J108" s="20">
        <v>0</v>
      </c>
      <c r="K108" s="20">
        <v>0</v>
      </c>
      <c r="L108" s="20">
        <f t="shared" si="4"/>
        <v>2307552.5814227615</v>
      </c>
    </row>
    <row r="109" spans="1:12">
      <c r="A109" s="23" t="s">
        <v>737</v>
      </c>
      <c r="B109" s="19" t="s">
        <v>2439</v>
      </c>
      <c r="C109" s="19">
        <f>VLOOKUP(A109,'Distribution Detail'!$A$2:$F$558,5,FALSE)</f>
        <v>1</v>
      </c>
      <c r="D109" s="25">
        <v>603634.57999999996</v>
      </c>
      <c r="E109" s="19">
        <v>0.12817030099999999</v>
      </c>
      <c r="F109" s="20">
        <v>603634.57999999996</v>
      </c>
      <c r="G109" s="20">
        <f t="shared" si="5"/>
        <v>2850570.8781866352</v>
      </c>
      <c r="H109" s="20">
        <v>0</v>
      </c>
      <c r="I109" s="20">
        <v>0</v>
      </c>
      <c r="J109" s="20">
        <v>0</v>
      </c>
      <c r="K109" s="20">
        <v>0</v>
      </c>
      <c r="L109" s="20">
        <f t="shared" si="4"/>
        <v>2850570.8781866352</v>
      </c>
    </row>
    <row r="110" spans="1:12">
      <c r="A110" s="23" t="s">
        <v>739</v>
      </c>
      <c r="B110" s="19" t="s">
        <v>2438</v>
      </c>
      <c r="C110" s="19" t="e">
        <f>VLOOKUP(A110,'Distribution Detail'!$A$2:$F$558,5,FALSE)</f>
        <v>#N/A</v>
      </c>
      <c r="D110" s="25">
        <v>399038.33</v>
      </c>
      <c r="E110" s="19">
        <v>0.46088949600000001</v>
      </c>
      <c r="F110" s="20">
        <v>399038.33</v>
      </c>
      <c r="G110" s="20">
        <f t="shared" si="5"/>
        <v>1022152.1480374717</v>
      </c>
      <c r="H110" s="20">
        <v>0</v>
      </c>
      <c r="I110" s="20">
        <v>0</v>
      </c>
      <c r="J110" s="20">
        <v>0</v>
      </c>
      <c r="K110" s="20">
        <v>0</v>
      </c>
      <c r="L110" s="20">
        <f t="shared" si="4"/>
        <v>1022152.1480374717</v>
      </c>
    </row>
    <row r="111" spans="1:12">
      <c r="A111" s="23" t="s">
        <v>741</v>
      </c>
      <c r="B111" s="19" t="s">
        <v>2437</v>
      </c>
      <c r="C111" s="19" t="e">
        <f>VLOOKUP(A111,'Distribution Detail'!$A$2:$F$558,5,FALSE)</f>
        <v>#N/A</v>
      </c>
      <c r="D111" s="25">
        <v>642463.88</v>
      </c>
      <c r="E111" s="19">
        <v>0.602466159</v>
      </c>
      <c r="F111" s="20">
        <v>642463.88</v>
      </c>
      <c r="G111" s="20">
        <f t="shared" si="5"/>
        <v>1258965.4175661819</v>
      </c>
      <c r="H111" s="20">
        <v>0</v>
      </c>
      <c r="I111" s="20">
        <v>0</v>
      </c>
      <c r="J111" s="20">
        <v>0</v>
      </c>
      <c r="K111" s="20">
        <v>0</v>
      </c>
      <c r="L111" s="20">
        <f t="shared" si="4"/>
        <v>1258965.4175661819</v>
      </c>
    </row>
    <row r="112" spans="1:12">
      <c r="A112" s="23" t="s">
        <v>743</v>
      </c>
      <c r="B112" s="19" t="s">
        <v>2436</v>
      </c>
      <c r="C112" s="19" t="e">
        <f>VLOOKUP(A112,'Distribution Detail'!$A$2:$F$558,5,FALSE)</f>
        <v>#N/A</v>
      </c>
      <c r="D112" s="25">
        <v>21889.439999999999</v>
      </c>
      <c r="E112" s="19">
        <v>0.41437719099999998</v>
      </c>
      <c r="F112" s="20">
        <v>20489.98</v>
      </c>
      <c r="G112" s="20">
        <f t="shared" si="5"/>
        <v>58377.223319664896</v>
      </c>
      <c r="H112" s="20">
        <v>0</v>
      </c>
      <c r="I112" s="20">
        <v>0</v>
      </c>
      <c r="J112" s="20">
        <v>1520.5803034945554</v>
      </c>
      <c r="K112" s="20">
        <v>0</v>
      </c>
      <c r="L112" s="20">
        <f t="shared" si="4"/>
        <v>59897.803623159452</v>
      </c>
    </row>
    <row r="113" spans="1:12">
      <c r="A113" s="23" t="s">
        <v>744</v>
      </c>
      <c r="B113" s="19" t="s">
        <v>2435</v>
      </c>
      <c r="C113" s="19" t="e">
        <f>VLOOKUP(A113,'Distribution Detail'!$A$2:$F$558,5,FALSE)</f>
        <v>#N/A</v>
      </c>
      <c r="D113" s="25">
        <v>0</v>
      </c>
      <c r="E113" s="19">
        <v>0.45385085800000002</v>
      </c>
      <c r="F113" s="20">
        <v>0</v>
      </c>
      <c r="G113" s="20">
        <f t="shared" si="5"/>
        <v>0</v>
      </c>
      <c r="H113" s="20">
        <v>0</v>
      </c>
      <c r="I113" s="20">
        <v>0</v>
      </c>
      <c r="J113" s="20">
        <v>0</v>
      </c>
      <c r="K113" s="20">
        <v>0</v>
      </c>
      <c r="L113" s="20">
        <f t="shared" si="4"/>
        <v>0</v>
      </c>
    </row>
    <row r="114" spans="1:12">
      <c r="A114" s="23" t="s">
        <v>746</v>
      </c>
      <c r="B114" s="19" t="s">
        <v>2434</v>
      </c>
      <c r="C114" s="19" t="e">
        <f>VLOOKUP(A114,'Distribution Detail'!$A$2:$F$558,5,FALSE)</f>
        <v>#N/A</v>
      </c>
      <c r="D114" s="25">
        <v>112937.94</v>
      </c>
      <c r="E114" s="19">
        <v>0.40842487900000002</v>
      </c>
      <c r="F114" s="20">
        <v>90689.91</v>
      </c>
      <c r="G114" s="20">
        <f t="shared" si="5"/>
        <v>262146.7776063144</v>
      </c>
      <c r="H114" s="20">
        <v>0</v>
      </c>
      <c r="I114" s="20">
        <v>0</v>
      </c>
      <c r="J114" s="20">
        <v>0</v>
      </c>
      <c r="K114" s="20">
        <v>24173.549947519736</v>
      </c>
      <c r="L114" s="20">
        <f t="shared" si="4"/>
        <v>286320.32755383413</v>
      </c>
    </row>
    <row r="115" spans="1:12">
      <c r="A115" s="23" t="s">
        <v>747</v>
      </c>
      <c r="B115" s="19" t="s">
        <v>2433</v>
      </c>
      <c r="C115" s="19" t="e">
        <f>VLOOKUP(A115,'Distribution Detail'!$A$2:$F$558,5,FALSE)</f>
        <v>#N/A</v>
      </c>
      <c r="D115" s="25">
        <v>825178.19</v>
      </c>
      <c r="E115" s="19">
        <v>0.45795131900000002</v>
      </c>
      <c r="F115" s="20">
        <v>824711.7</v>
      </c>
      <c r="G115" s="20">
        <f t="shared" si="5"/>
        <v>2126084.8037814144</v>
      </c>
      <c r="H115" s="20">
        <v>0</v>
      </c>
      <c r="I115" s="20">
        <v>0</v>
      </c>
      <c r="J115" s="20">
        <v>506.86372299113594</v>
      </c>
      <c r="K115" s="20">
        <v>0</v>
      </c>
      <c r="L115" s="20">
        <f t="shared" si="4"/>
        <v>2126591.6675044056</v>
      </c>
    </row>
    <row r="116" spans="1:12">
      <c r="A116" s="23" t="s">
        <v>749</v>
      </c>
      <c r="B116" s="19" t="s">
        <v>2432</v>
      </c>
      <c r="C116" s="19" t="e">
        <f>VLOOKUP(A116,'Distribution Detail'!$A$2:$F$558,5,FALSE)</f>
        <v>#N/A</v>
      </c>
      <c r="D116" s="25">
        <v>210406.05</v>
      </c>
      <c r="E116" s="19">
        <v>0.47478260500000002</v>
      </c>
      <c r="F116" s="20">
        <v>210406.05</v>
      </c>
      <c r="G116" s="20">
        <f t="shared" si="5"/>
        <v>523192.08604628989</v>
      </c>
      <c r="H116" s="20">
        <v>0</v>
      </c>
      <c r="I116" s="20">
        <v>0</v>
      </c>
      <c r="J116" s="20">
        <v>0</v>
      </c>
      <c r="K116" s="20">
        <v>0</v>
      </c>
      <c r="L116" s="20">
        <f t="shared" si="4"/>
        <v>523192.08604628989</v>
      </c>
    </row>
    <row r="117" spans="1:12">
      <c r="A117" s="23" t="s">
        <v>751</v>
      </c>
      <c r="B117" s="19" t="s">
        <v>2431</v>
      </c>
      <c r="C117" s="19" t="e">
        <f>VLOOKUP(A117,'Distribution Detail'!$A$2:$F$558,5,FALSE)</f>
        <v>#N/A</v>
      </c>
      <c r="D117" s="25">
        <v>838428.91</v>
      </c>
      <c r="E117" s="19">
        <v>0.88405342399999998</v>
      </c>
      <c r="F117" s="20">
        <v>834697.01</v>
      </c>
      <c r="G117" s="20">
        <f t="shared" si="5"/>
        <v>1114674.558914619</v>
      </c>
      <c r="H117" s="20">
        <v>0</v>
      </c>
      <c r="I117" s="20">
        <v>4054.8880529713824</v>
      </c>
      <c r="J117" s="20">
        <v>0</v>
      </c>
      <c r="K117" s="20">
        <v>0</v>
      </c>
      <c r="L117" s="20">
        <f t="shared" si="4"/>
        <v>1118729.4469675904</v>
      </c>
    </row>
    <row r="118" spans="1:12">
      <c r="A118" s="23" t="s">
        <v>753</v>
      </c>
      <c r="B118" s="19" t="s">
        <v>2430</v>
      </c>
      <c r="C118" s="19">
        <f>VLOOKUP(A118,'Distribution Detail'!$A$2:$F$558,5,FALSE)</f>
        <v>1</v>
      </c>
      <c r="D118" s="25">
        <v>822649.85</v>
      </c>
      <c r="E118" s="19">
        <v>0.38620905</v>
      </c>
      <c r="F118" s="20">
        <v>822649.85</v>
      </c>
      <c r="G118" s="20">
        <f t="shared" si="5"/>
        <v>2514723.9514987543</v>
      </c>
      <c r="H118" s="20">
        <v>0</v>
      </c>
      <c r="I118" s="20">
        <v>0</v>
      </c>
      <c r="J118" s="20">
        <v>0</v>
      </c>
      <c r="K118" s="20">
        <v>0</v>
      </c>
      <c r="L118" s="20">
        <f t="shared" si="4"/>
        <v>2514723.9514987543</v>
      </c>
    </row>
    <row r="119" spans="1:12">
      <c r="A119" s="23" t="s">
        <v>755</v>
      </c>
      <c r="B119" s="19" t="s">
        <v>2429</v>
      </c>
      <c r="C119" s="19" t="e">
        <f>VLOOKUP(A119,'Distribution Detail'!$A$2:$F$558,5,FALSE)</f>
        <v>#N/A</v>
      </c>
      <c r="D119" s="25">
        <v>993070.88</v>
      </c>
      <c r="E119" s="19">
        <v>0.61660684700000001</v>
      </c>
      <c r="F119" s="20">
        <v>991204.93</v>
      </c>
      <c r="G119" s="20">
        <f t="shared" si="5"/>
        <v>1897810.5310183889</v>
      </c>
      <c r="H119" s="20">
        <v>0</v>
      </c>
      <c r="I119" s="20">
        <v>2027.4440264856912</v>
      </c>
      <c r="J119" s="20">
        <v>0</v>
      </c>
      <c r="K119" s="20">
        <v>0</v>
      </c>
      <c r="L119" s="20">
        <f t="shared" si="4"/>
        <v>1899837.9750448747</v>
      </c>
    </row>
    <row r="120" spans="1:12">
      <c r="A120" s="23" t="s">
        <v>757</v>
      </c>
      <c r="B120" s="19" t="s">
        <v>2428</v>
      </c>
      <c r="C120" s="19" t="e">
        <f>VLOOKUP(A120,'Distribution Detail'!$A$2:$F$558,5,FALSE)</f>
        <v>#N/A</v>
      </c>
      <c r="D120" s="25">
        <v>247227.39</v>
      </c>
      <c r="E120" s="19">
        <v>0.05</v>
      </c>
      <c r="F120" s="20">
        <v>188599.38</v>
      </c>
      <c r="G120" s="20">
        <f t="shared" si="5"/>
        <v>890631.38210547005</v>
      </c>
      <c r="H120" s="20">
        <v>0</v>
      </c>
      <c r="I120" s="20">
        <v>0</v>
      </c>
      <c r="J120" s="20">
        <v>0</v>
      </c>
      <c r="K120" s="20">
        <v>63702.140282024375</v>
      </c>
      <c r="L120" s="20">
        <f t="shared" si="4"/>
        <v>954333.52238749445</v>
      </c>
    </row>
    <row r="121" spans="1:12">
      <c r="A121" s="23" t="s">
        <v>759</v>
      </c>
      <c r="B121" s="19" t="s">
        <v>2427</v>
      </c>
      <c r="C121" s="19" t="e">
        <f>VLOOKUP(A121,'Distribution Detail'!$A$2:$F$558,5,FALSE)</f>
        <v>#N/A</v>
      </c>
      <c r="D121" s="25">
        <v>284575.31</v>
      </c>
      <c r="E121" s="19">
        <v>0.71938524699999995</v>
      </c>
      <c r="F121" s="20">
        <v>284575.31</v>
      </c>
      <c r="G121" s="20">
        <f t="shared" si="5"/>
        <v>467017.79843520367</v>
      </c>
      <c r="H121" s="20">
        <v>0</v>
      </c>
      <c r="I121" s="20">
        <v>0</v>
      </c>
      <c r="J121" s="20">
        <v>0</v>
      </c>
      <c r="K121" s="20">
        <v>0</v>
      </c>
      <c r="L121" s="20">
        <f t="shared" si="4"/>
        <v>467017.79843520367</v>
      </c>
    </row>
    <row r="122" spans="1:12">
      <c r="A122" s="23" t="s">
        <v>761</v>
      </c>
      <c r="B122" s="19" t="s">
        <v>2426</v>
      </c>
      <c r="C122" s="19" t="e">
        <f>VLOOKUP(A122,'Distribution Detail'!$A$2:$F$558,5,FALSE)</f>
        <v>#N/A</v>
      </c>
      <c r="D122" s="25">
        <v>845974.73</v>
      </c>
      <c r="E122" s="19">
        <v>0.19198438800000001</v>
      </c>
      <c r="F122" s="20">
        <v>825216.05</v>
      </c>
      <c r="G122" s="20">
        <f t="shared" si="5"/>
        <v>3896955.0756058516</v>
      </c>
      <c r="H122" s="20">
        <v>0</v>
      </c>
      <c r="I122" s="20">
        <v>0</v>
      </c>
      <c r="J122" s="20">
        <v>22301.873425863749</v>
      </c>
      <c r="K122" s="20">
        <v>0</v>
      </c>
      <c r="L122" s="20">
        <f t="shared" si="4"/>
        <v>3919256.9490317153</v>
      </c>
    </row>
    <row r="123" spans="1:12">
      <c r="A123" s="23" t="s">
        <v>763</v>
      </c>
      <c r="B123" s="19" t="s">
        <v>2425</v>
      </c>
      <c r="C123" s="19" t="e">
        <f>VLOOKUP(A123,'Distribution Detail'!$A$2:$F$558,5,FALSE)</f>
        <v>#N/A</v>
      </c>
      <c r="D123" s="25">
        <v>557165.14</v>
      </c>
      <c r="E123" s="19">
        <v>0.58813455299999995</v>
      </c>
      <c r="F123" s="20">
        <v>555299.18999999994</v>
      </c>
      <c r="G123" s="20">
        <f t="shared" si="5"/>
        <v>1114674.5530045393</v>
      </c>
      <c r="H123" s="20">
        <v>0</v>
      </c>
      <c r="I123" s="20">
        <v>2027.4440264856912</v>
      </c>
      <c r="J123" s="20">
        <v>0</v>
      </c>
      <c r="K123" s="20">
        <v>0</v>
      </c>
      <c r="L123" s="20">
        <f t="shared" si="4"/>
        <v>1116701.9970310251</v>
      </c>
    </row>
    <row r="124" spans="1:12">
      <c r="A124" s="23" t="s">
        <v>765</v>
      </c>
      <c r="B124" s="19" t="s">
        <v>2424</v>
      </c>
      <c r="C124" s="19" t="e">
        <f>VLOOKUP(A124,'Distribution Detail'!$A$2:$F$558,5,FALSE)</f>
        <v>#N/A</v>
      </c>
      <c r="D124" s="25">
        <v>31376.1</v>
      </c>
      <c r="E124" s="19">
        <v>0.50954820899999997</v>
      </c>
      <c r="F124" s="20">
        <v>31376.1</v>
      </c>
      <c r="G124" s="20">
        <f t="shared" si="5"/>
        <v>72696.151946136</v>
      </c>
      <c r="H124" s="20">
        <v>0</v>
      </c>
      <c r="I124" s="20">
        <v>0</v>
      </c>
      <c r="J124" s="20">
        <v>0</v>
      </c>
      <c r="K124" s="20">
        <v>0</v>
      </c>
      <c r="L124" s="20">
        <f t="shared" si="4"/>
        <v>72696.151946136</v>
      </c>
    </row>
    <row r="125" spans="1:12">
      <c r="A125" s="23" t="s">
        <v>767</v>
      </c>
      <c r="B125" s="19" t="s">
        <v>2423</v>
      </c>
      <c r="C125" s="19">
        <f>VLOOKUP(A125,'Distribution Detail'!$A$2:$F$558,5,FALSE)</f>
        <v>1</v>
      </c>
      <c r="D125" s="25">
        <v>200589.54</v>
      </c>
      <c r="E125" s="19">
        <v>0.05</v>
      </c>
      <c r="F125" s="20">
        <v>200589.54</v>
      </c>
      <c r="G125" s="20">
        <f t="shared" si="5"/>
        <v>947253.05696180172</v>
      </c>
      <c r="H125" s="20">
        <v>0</v>
      </c>
      <c r="I125" s="20">
        <v>0</v>
      </c>
      <c r="J125" s="20">
        <v>0</v>
      </c>
      <c r="K125" s="20">
        <v>0</v>
      </c>
      <c r="L125" s="20">
        <f t="shared" si="4"/>
        <v>947253.05696180172</v>
      </c>
    </row>
    <row r="126" spans="1:12">
      <c r="A126" s="23" t="s">
        <v>769</v>
      </c>
      <c r="B126" s="19" t="s">
        <v>2422</v>
      </c>
      <c r="C126" s="19" t="e">
        <f>VLOOKUP(A126,'Distribution Detail'!$A$2:$F$558,5,FALSE)</f>
        <v>#N/A</v>
      </c>
      <c r="D126" s="25">
        <v>105118.04</v>
      </c>
      <c r="E126" s="19">
        <v>0.57779367999999998</v>
      </c>
      <c r="F126" s="20">
        <v>105118.04</v>
      </c>
      <c r="G126" s="20">
        <f t="shared" si="5"/>
        <v>214784.13996657962</v>
      </c>
      <c r="H126" s="20">
        <v>0</v>
      </c>
      <c r="I126" s="20">
        <v>0</v>
      </c>
      <c r="J126" s="20">
        <v>0</v>
      </c>
      <c r="K126" s="20">
        <v>0</v>
      </c>
      <c r="L126" s="20">
        <f t="shared" si="4"/>
        <v>214784.13996657962</v>
      </c>
    </row>
    <row r="127" spans="1:12">
      <c r="A127" s="23" t="s">
        <v>771</v>
      </c>
      <c r="B127" s="19" t="s">
        <v>2421</v>
      </c>
      <c r="C127" s="19">
        <f>VLOOKUP(A127,'Distribution Detail'!$A$2:$F$558,5,FALSE)</f>
        <v>1</v>
      </c>
      <c r="D127" s="25">
        <v>710390.2</v>
      </c>
      <c r="E127" s="19">
        <v>0.49891212699999998</v>
      </c>
      <c r="F127" s="20">
        <v>593011.78</v>
      </c>
      <c r="G127" s="20">
        <f t="shared" si="5"/>
        <v>1403256.3039407553</v>
      </c>
      <c r="H127" s="20">
        <v>0</v>
      </c>
      <c r="I127" s="20">
        <v>0</v>
      </c>
      <c r="J127" s="20">
        <v>0</v>
      </c>
      <c r="K127" s="20">
        <v>127537.27402520356</v>
      </c>
      <c r="L127" s="20">
        <f t="shared" si="4"/>
        <v>1530793.577965959</v>
      </c>
    </row>
    <row r="128" spans="1:12">
      <c r="A128" s="23" t="s">
        <v>773</v>
      </c>
      <c r="B128" s="19" t="s">
        <v>2420</v>
      </c>
      <c r="C128" s="19">
        <f>VLOOKUP(A128,'Distribution Detail'!$A$2:$F$558,5,FALSE)</f>
        <v>1</v>
      </c>
      <c r="D128" s="25">
        <v>321993.48</v>
      </c>
      <c r="E128" s="19">
        <v>0.50018211599999995</v>
      </c>
      <c r="F128" s="20">
        <v>321993.48</v>
      </c>
      <c r="G128" s="20">
        <f t="shared" si="5"/>
        <v>760005.3685519126</v>
      </c>
      <c r="H128" s="20">
        <v>0</v>
      </c>
      <c r="I128" s="20">
        <v>0</v>
      </c>
      <c r="J128" s="20">
        <v>0</v>
      </c>
      <c r="K128" s="20">
        <v>0</v>
      </c>
      <c r="L128" s="20">
        <f t="shared" si="4"/>
        <v>760005.3685519126</v>
      </c>
    </row>
    <row r="129" spans="1:12">
      <c r="A129" s="23" t="s">
        <v>775</v>
      </c>
      <c r="B129" s="19" t="s">
        <v>2419</v>
      </c>
      <c r="C129" s="19">
        <f>VLOOKUP(A129,'Distribution Detail'!$A$2:$F$558,5,FALSE)</f>
        <v>1</v>
      </c>
      <c r="D129" s="25">
        <v>823756.13</v>
      </c>
      <c r="E129" s="19">
        <v>0.60022786299999997</v>
      </c>
      <c r="F129" s="20">
        <v>823756.13</v>
      </c>
      <c r="G129" s="20">
        <f t="shared" si="5"/>
        <v>1620243.3563805206</v>
      </c>
      <c r="H129" s="20">
        <v>0</v>
      </c>
      <c r="I129" s="20">
        <v>0</v>
      </c>
      <c r="J129" s="20">
        <v>0</v>
      </c>
      <c r="K129" s="20">
        <v>0</v>
      </c>
      <c r="L129" s="20">
        <f t="shared" si="4"/>
        <v>1620243.3563805206</v>
      </c>
    </row>
    <row r="130" spans="1:12">
      <c r="A130" s="23" t="s">
        <v>777</v>
      </c>
      <c r="B130" s="19" t="s">
        <v>2418</v>
      </c>
      <c r="C130" s="19">
        <f>VLOOKUP(A130,'Distribution Detail'!$A$2:$F$558,5,FALSE)</f>
        <v>1</v>
      </c>
      <c r="D130" s="25">
        <v>632092.28</v>
      </c>
      <c r="E130" s="19">
        <v>0.41110565300000002</v>
      </c>
      <c r="F130" s="20">
        <v>632092.28</v>
      </c>
      <c r="G130" s="20">
        <f t="shared" si="5"/>
        <v>1815201.2385337234</v>
      </c>
      <c r="H130" s="20">
        <v>0</v>
      </c>
      <c r="I130" s="20">
        <v>0</v>
      </c>
      <c r="J130" s="20">
        <v>0</v>
      </c>
      <c r="K130" s="20">
        <v>0</v>
      </c>
      <c r="L130" s="20">
        <f t="shared" ref="L130:L193" si="6">SUM(G130:K130)</f>
        <v>1815201.2385337234</v>
      </c>
    </row>
    <row r="131" spans="1:12">
      <c r="A131" s="23" t="s">
        <v>779</v>
      </c>
      <c r="B131" s="19" t="s">
        <v>2417</v>
      </c>
      <c r="C131" s="19" t="e">
        <f>VLOOKUP(A131,'Distribution Detail'!$A$2:$F$558,5,FALSE)</f>
        <v>#N/A</v>
      </c>
      <c r="D131" s="25">
        <v>347109.07</v>
      </c>
      <c r="E131" s="19">
        <v>0.35264982099999997</v>
      </c>
      <c r="F131" s="20">
        <v>347109.07</v>
      </c>
      <c r="G131" s="20">
        <f t="shared" ref="G131:G194" si="7">(F131/(IF(E131&lt;0.25,0.25,E131))/0.920346)/0.920346</f>
        <v>1162037.2127127978</v>
      </c>
      <c r="H131" s="20">
        <v>0</v>
      </c>
      <c r="I131" s="20">
        <v>0</v>
      </c>
      <c r="J131" s="20">
        <v>0</v>
      </c>
      <c r="K131" s="20">
        <v>0</v>
      </c>
      <c r="L131" s="20">
        <f t="shared" si="6"/>
        <v>1162037.2127127978</v>
      </c>
    </row>
    <row r="132" spans="1:12">
      <c r="A132" s="23" t="s">
        <v>781</v>
      </c>
      <c r="B132" s="19" t="s">
        <v>2416</v>
      </c>
      <c r="C132" s="19" t="e">
        <f>VLOOKUP(A132,'Distribution Detail'!$A$2:$F$558,5,FALSE)</f>
        <v>#N/A</v>
      </c>
      <c r="D132" s="25">
        <v>469252.76</v>
      </c>
      <c r="E132" s="19">
        <v>0.61449541799999996</v>
      </c>
      <c r="F132" s="20">
        <v>413355.52000000002</v>
      </c>
      <c r="G132" s="20">
        <f t="shared" si="7"/>
        <v>794150.53801465686</v>
      </c>
      <c r="H132" s="20">
        <v>0</v>
      </c>
      <c r="I132" s="20">
        <v>0</v>
      </c>
      <c r="J132" s="20">
        <v>0</v>
      </c>
      <c r="K132" s="20">
        <v>60735.027913415171</v>
      </c>
      <c r="L132" s="20">
        <f t="shared" si="6"/>
        <v>854885.56592807209</v>
      </c>
    </row>
    <row r="133" spans="1:12">
      <c r="A133" s="23" t="s">
        <v>783</v>
      </c>
      <c r="B133" s="19" t="s">
        <v>2415</v>
      </c>
      <c r="C133" s="19" t="e">
        <f>VLOOKUP(A133,'Distribution Detail'!$A$2:$F$558,5,FALSE)</f>
        <v>#N/A</v>
      </c>
      <c r="D133" s="25">
        <v>368209.09</v>
      </c>
      <c r="E133" s="19">
        <v>0.57031997599999995</v>
      </c>
      <c r="F133" s="20">
        <v>368209.09</v>
      </c>
      <c r="G133" s="20">
        <f t="shared" si="7"/>
        <v>762208.2831388996</v>
      </c>
      <c r="H133" s="20">
        <v>0</v>
      </c>
      <c r="I133" s="20">
        <v>0</v>
      </c>
      <c r="J133" s="20">
        <v>0</v>
      </c>
      <c r="K133" s="20">
        <v>0</v>
      </c>
      <c r="L133" s="20">
        <f t="shared" si="6"/>
        <v>762208.2831388996</v>
      </c>
    </row>
    <row r="134" spans="1:12">
      <c r="A134" s="23" t="s">
        <v>785</v>
      </c>
      <c r="B134" s="19" t="s">
        <v>786</v>
      </c>
      <c r="C134" s="19">
        <f>VLOOKUP(A134,'Distribution Detail'!$A$2:$F$558,5,FALSE)</f>
        <v>1</v>
      </c>
      <c r="D134" s="25">
        <v>273400.06</v>
      </c>
      <c r="E134" s="19">
        <v>0.26258177399999999</v>
      </c>
      <c r="F134" s="20">
        <v>273400.06</v>
      </c>
      <c r="G134" s="20">
        <f t="shared" si="7"/>
        <v>1229226.0892182682</v>
      </c>
      <c r="H134" s="20">
        <v>0</v>
      </c>
      <c r="I134" s="20">
        <v>0</v>
      </c>
      <c r="J134" s="20">
        <v>0</v>
      </c>
      <c r="K134" s="20">
        <v>0</v>
      </c>
      <c r="L134" s="20">
        <f t="shared" si="6"/>
        <v>1229226.0892182682</v>
      </c>
    </row>
    <row r="135" spans="1:12">
      <c r="A135" s="23" t="s">
        <v>787</v>
      </c>
      <c r="B135" s="19" t="s">
        <v>2414</v>
      </c>
      <c r="C135" s="19" t="e">
        <f>VLOOKUP(A135,'Distribution Detail'!$A$2:$F$558,5,FALSE)</f>
        <v>#N/A</v>
      </c>
      <c r="D135" s="25">
        <v>8250783.3499999996</v>
      </c>
      <c r="E135" s="19">
        <v>0.63907529200000002</v>
      </c>
      <c r="F135" s="20">
        <v>8249590.8799999999</v>
      </c>
      <c r="G135" s="20">
        <f t="shared" si="7"/>
        <v>15239759.935561044</v>
      </c>
      <c r="H135" s="20">
        <v>0</v>
      </c>
      <c r="I135" s="20">
        <v>0</v>
      </c>
      <c r="J135" s="20">
        <v>0</v>
      </c>
      <c r="K135" s="20">
        <v>0</v>
      </c>
      <c r="L135" s="20">
        <f t="shared" si="6"/>
        <v>15239759.935561044</v>
      </c>
    </row>
    <row r="136" spans="1:12">
      <c r="A136" s="23" t="s">
        <v>789</v>
      </c>
      <c r="B136" s="19" t="s">
        <v>2413</v>
      </c>
      <c r="C136" s="19">
        <f>VLOOKUP(A136,'Distribution Detail'!$A$2:$F$558,5,FALSE)</f>
        <v>1</v>
      </c>
      <c r="D136" s="25">
        <v>844351</v>
      </c>
      <c r="E136" s="19">
        <v>0.82890790299999995</v>
      </c>
      <c r="F136" s="20">
        <v>842178.19</v>
      </c>
      <c r="G136" s="20">
        <f t="shared" si="7"/>
        <v>1199486.7409557698</v>
      </c>
      <c r="H136" s="20">
        <v>0</v>
      </c>
      <c r="I136" s="20">
        <v>1520.5803034945554</v>
      </c>
      <c r="J136" s="20">
        <v>0</v>
      </c>
      <c r="K136" s="20">
        <v>0</v>
      </c>
      <c r="L136" s="20">
        <f t="shared" si="6"/>
        <v>1201007.3212592644</v>
      </c>
    </row>
    <row r="137" spans="1:12">
      <c r="A137" s="23" t="s">
        <v>790</v>
      </c>
      <c r="B137" s="19" t="s">
        <v>2412</v>
      </c>
      <c r="C137" s="19" t="e">
        <f>VLOOKUP(A137,'Distribution Detail'!$A$2:$F$558,5,FALSE)</f>
        <v>#N/A</v>
      </c>
      <c r="D137" s="25">
        <v>495650.54</v>
      </c>
      <c r="E137" s="19">
        <v>0.72378520000000002</v>
      </c>
      <c r="F137" s="20">
        <v>495650.54</v>
      </c>
      <c r="G137" s="20">
        <f t="shared" si="7"/>
        <v>808469.47485804977</v>
      </c>
      <c r="H137" s="20">
        <v>0</v>
      </c>
      <c r="I137" s="20">
        <v>0</v>
      </c>
      <c r="J137" s="20">
        <v>0</v>
      </c>
      <c r="K137" s="20">
        <v>0</v>
      </c>
      <c r="L137" s="20">
        <f t="shared" si="6"/>
        <v>808469.47485804977</v>
      </c>
    </row>
    <row r="138" spans="1:12">
      <c r="A138" s="23" t="s">
        <v>792</v>
      </c>
      <c r="B138" s="19" t="s">
        <v>2411</v>
      </c>
      <c r="C138" s="19" t="e">
        <f>VLOOKUP(A138,'Distribution Detail'!$A$2:$F$558,5,FALSE)</f>
        <v>#N/A</v>
      </c>
      <c r="D138" s="25">
        <v>777417.16</v>
      </c>
      <c r="E138" s="19">
        <v>0.33026841499999998</v>
      </c>
      <c r="F138" s="20">
        <v>777417.16</v>
      </c>
      <c r="G138" s="20">
        <f t="shared" si="7"/>
        <v>2778976.1666439697</v>
      </c>
      <c r="H138" s="20">
        <v>0</v>
      </c>
      <c r="I138" s="20">
        <v>0</v>
      </c>
      <c r="J138" s="20">
        <v>0</v>
      </c>
      <c r="K138" s="20">
        <v>0</v>
      </c>
      <c r="L138" s="20">
        <f t="shared" si="6"/>
        <v>2778976.1666439697</v>
      </c>
    </row>
    <row r="139" spans="1:12">
      <c r="A139" s="23" t="s">
        <v>793</v>
      </c>
      <c r="B139" s="19" t="s">
        <v>2410</v>
      </c>
      <c r="C139" s="19">
        <f>VLOOKUP(A139,'Distribution Detail'!$A$2:$F$558,5,FALSE)</f>
        <v>1</v>
      </c>
      <c r="D139" s="25">
        <v>852738.81</v>
      </c>
      <c r="E139" s="19">
        <v>8.3011876999999998E-2</v>
      </c>
      <c r="F139" s="20">
        <v>852738.81</v>
      </c>
      <c r="G139" s="20">
        <f t="shared" si="7"/>
        <v>4026927.0499472152</v>
      </c>
      <c r="H139" s="20">
        <v>0</v>
      </c>
      <c r="I139" s="20">
        <v>0</v>
      </c>
      <c r="J139" s="20">
        <v>0</v>
      </c>
      <c r="K139" s="20">
        <v>0</v>
      </c>
      <c r="L139" s="20">
        <f t="shared" si="6"/>
        <v>4026927.0499472152</v>
      </c>
    </row>
    <row r="140" spans="1:12">
      <c r="A140" s="23" t="s">
        <v>795</v>
      </c>
      <c r="B140" s="19" t="s">
        <v>2409</v>
      </c>
      <c r="C140" s="19" t="e">
        <f>VLOOKUP(A140,'Distribution Detail'!$A$2:$F$558,5,FALSE)</f>
        <v>#N/A</v>
      </c>
      <c r="D140" s="25">
        <v>232310.47</v>
      </c>
      <c r="E140" s="19">
        <v>0.75226515199999999</v>
      </c>
      <c r="F140" s="20">
        <v>232310.47</v>
      </c>
      <c r="G140" s="20">
        <f t="shared" si="7"/>
        <v>364582.30068594188</v>
      </c>
      <c r="H140" s="20">
        <v>0</v>
      </c>
      <c r="I140" s="20">
        <v>0</v>
      </c>
      <c r="J140" s="20">
        <v>0</v>
      </c>
      <c r="K140" s="20">
        <v>0</v>
      </c>
      <c r="L140" s="20">
        <f t="shared" si="6"/>
        <v>364582.30068594188</v>
      </c>
    </row>
    <row r="141" spans="1:12">
      <c r="A141" s="23" t="s">
        <v>797</v>
      </c>
      <c r="B141" s="19" t="s">
        <v>2408</v>
      </c>
      <c r="C141" s="19" t="e">
        <f>VLOOKUP(A141,'Distribution Detail'!$A$2:$F$558,5,FALSE)</f>
        <v>#N/A</v>
      </c>
      <c r="D141" s="25">
        <v>785098.15</v>
      </c>
      <c r="E141" s="19">
        <v>0.05</v>
      </c>
      <c r="F141" s="20">
        <v>783232.2</v>
      </c>
      <c r="G141" s="20">
        <f t="shared" si="7"/>
        <v>3698692.841914474</v>
      </c>
      <c r="H141" s="20">
        <v>0</v>
      </c>
      <c r="I141" s="20">
        <v>0</v>
      </c>
      <c r="J141" s="20">
        <v>2027.4440264856912</v>
      </c>
      <c r="K141" s="20">
        <v>0</v>
      </c>
      <c r="L141" s="20">
        <f t="shared" si="6"/>
        <v>3700720.2859409596</v>
      </c>
    </row>
    <row r="142" spans="1:12">
      <c r="A142" s="23" t="s">
        <v>799</v>
      </c>
      <c r="B142" s="19" t="s">
        <v>2407</v>
      </c>
      <c r="C142" s="19" t="e">
        <f>VLOOKUP(A142,'Distribution Detail'!$A$2:$F$558,5,FALSE)</f>
        <v>#N/A</v>
      </c>
      <c r="D142" s="25">
        <v>1134955.0900000001</v>
      </c>
      <c r="E142" s="19">
        <v>0.34325362700000001</v>
      </c>
      <c r="F142" s="20">
        <v>1133033.6100000001</v>
      </c>
      <c r="G142" s="20">
        <f t="shared" si="7"/>
        <v>3896955.0794426617</v>
      </c>
      <c r="H142" s="20">
        <v>0</v>
      </c>
      <c r="I142" s="20">
        <v>0</v>
      </c>
      <c r="J142" s="20">
        <v>0</v>
      </c>
      <c r="K142" s="20">
        <v>0</v>
      </c>
      <c r="L142" s="20">
        <f t="shared" si="6"/>
        <v>3896955.0794426617</v>
      </c>
    </row>
    <row r="143" spans="1:12">
      <c r="A143" s="23" t="s">
        <v>800</v>
      </c>
      <c r="B143" s="19" t="s">
        <v>2406</v>
      </c>
      <c r="C143" s="19" t="e">
        <f>VLOOKUP(A143,'Distribution Detail'!$A$2:$F$558,5,FALSE)</f>
        <v>#N/A</v>
      </c>
      <c r="D143" s="25">
        <v>490953.93</v>
      </c>
      <c r="E143" s="19">
        <v>0.42300989900000002</v>
      </c>
      <c r="F143" s="20">
        <v>490953.93</v>
      </c>
      <c r="G143" s="20">
        <f t="shared" si="7"/>
        <v>1370212.5847862635</v>
      </c>
      <c r="H143" s="20">
        <v>0</v>
      </c>
      <c r="I143" s="20">
        <v>0</v>
      </c>
      <c r="J143" s="20">
        <v>0</v>
      </c>
      <c r="K143" s="20">
        <v>0</v>
      </c>
      <c r="L143" s="20">
        <f t="shared" si="6"/>
        <v>1370212.5847862635</v>
      </c>
    </row>
    <row r="144" spans="1:12">
      <c r="A144" s="23" t="s">
        <v>802</v>
      </c>
      <c r="B144" s="19" t="s">
        <v>2405</v>
      </c>
      <c r="C144" s="19" t="e">
        <f>VLOOKUP(A144,'Distribution Detail'!$A$2:$F$558,5,FALSE)</f>
        <v>#N/A</v>
      </c>
      <c r="D144" s="25">
        <v>311092.69</v>
      </c>
      <c r="E144" s="19">
        <v>0.53850299899999998</v>
      </c>
      <c r="F144" s="20">
        <v>311092.69</v>
      </c>
      <c r="G144" s="20">
        <f t="shared" si="7"/>
        <v>682023.62974169722</v>
      </c>
      <c r="H144" s="20">
        <v>0</v>
      </c>
      <c r="I144" s="20">
        <v>0</v>
      </c>
      <c r="J144" s="20">
        <v>0</v>
      </c>
      <c r="K144" s="20">
        <v>0</v>
      </c>
      <c r="L144" s="20">
        <f t="shared" si="6"/>
        <v>682023.62974169722</v>
      </c>
    </row>
    <row r="145" spans="1:12">
      <c r="A145" s="23" t="s">
        <v>804</v>
      </c>
      <c r="B145" s="19" t="s">
        <v>2404</v>
      </c>
      <c r="C145" s="19" t="e">
        <f>VLOOKUP(A145,'Distribution Detail'!$A$2:$F$558,5,FALSE)</f>
        <v>#N/A</v>
      </c>
      <c r="D145" s="25">
        <v>7607872.79</v>
      </c>
      <c r="E145" s="19">
        <v>0.80212958099999998</v>
      </c>
      <c r="F145" s="20">
        <v>3656635.17</v>
      </c>
      <c r="G145" s="20">
        <f t="shared" si="7"/>
        <v>5381890.2998373369</v>
      </c>
      <c r="H145" s="20">
        <v>2595380.737244471</v>
      </c>
      <c r="I145" s="20">
        <v>0</v>
      </c>
      <c r="J145" s="20">
        <v>0</v>
      </c>
      <c r="K145" s="20">
        <v>0</v>
      </c>
      <c r="L145" s="20">
        <f t="shared" si="6"/>
        <v>7977271.0370818079</v>
      </c>
    </row>
    <row r="146" spans="1:12">
      <c r="A146" s="23" t="s">
        <v>806</v>
      </c>
      <c r="B146" s="19" t="s">
        <v>2403</v>
      </c>
      <c r="C146" s="19" t="e">
        <f>VLOOKUP(A146,'Distribution Detail'!$A$2:$F$558,5,FALSE)</f>
        <v>#N/A</v>
      </c>
      <c r="D146" s="25">
        <v>137958.54999999999</v>
      </c>
      <c r="E146" s="19">
        <v>0.68776541000000002</v>
      </c>
      <c r="F146" s="20">
        <v>137958.54999999999</v>
      </c>
      <c r="G146" s="20">
        <f t="shared" si="7"/>
        <v>236813.26901279361</v>
      </c>
      <c r="H146" s="20">
        <v>0</v>
      </c>
      <c r="I146" s="20">
        <v>0</v>
      </c>
      <c r="J146" s="20">
        <v>0</v>
      </c>
      <c r="K146" s="20">
        <v>0</v>
      </c>
      <c r="L146" s="20">
        <f t="shared" si="6"/>
        <v>236813.26901279361</v>
      </c>
    </row>
    <row r="147" spans="1:12">
      <c r="A147" s="23" t="s">
        <v>808</v>
      </c>
      <c r="B147" s="19" t="s">
        <v>2402</v>
      </c>
      <c r="C147" s="19" t="e">
        <f>VLOOKUP(A147,'Distribution Detail'!$A$2:$F$558,5,FALSE)</f>
        <v>#N/A</v>
      </c>
      <c r="D147" s="25">
        <v>817753.41</v>
      </c>
      <c r="E147" s="19">
        <v>0.45320643399999999</v>
      </c>
      <c r="F147" s="20">
        <v>817753.41</v>
      </c>
      <c r="G147" s="20">
        <f t="shared" si="7"/>
        <v>2130217.9445753433</v>
      </c>
      <c r="H147" s="20">
        <v>0</v>
      </c>
      <c r="I147" s="20">
        <v>0</v>
      </c>
      <c r="J147" s="20">
        <v>0</v>
      </c>
      <c r="K147" s="20">
        <v>0</v>
      </c>
      <c r="L147" s="20">
        <f t="shared" si="6"/>
        <v>2130217.9445753433</v>
      </c>
    </row>
    <row r="148" spans="1:12">
      <c r="A148" s="23" t="s">
        <v>810</v>
      </c>
      <c r="B148" s="19" t="s">
        <v>2401</v>
      </c>
      <c r="C148" s="19" t="e">
        <f>VLOOKUP(A148,'Distribution Detail'!$A$2:$F$558,5,FALSE)</f>
        <v>#N/A</v>
      </c>
      <c r="D148" s="25">
        <v>238018.47</v>
      </c>
      <c r="E148" s="19">
        <v>0.05</v>
      </c>
      <c r="F148" s="20">
        <v>238018.47</v>
      </c>
      <c r="G148" s="20">
        <f t="shared" si="7"/>
        <v>1124005.3859282536</v>
      </c>
      <c r="H148" s="20">
        <v>0</v>
      </c>
      <c r="I148" s="20">
        <v>0</v>
      </c>
      <c r="J148" s="20">
        <v>0</v>
      </c>
      <c r="K148" s="20">
        <v>0</v>
      </c>
      <c r="L148" s="20">
        <f t="shared" si="6"/>
        <v>1124005.3859282536</v>
      </c>
    </row>
    <row r="149" spans="1:12">
      <c r="A149" s="23" t="s">
        <v>812</v>
      </c>
      <c r="B149" s="19" t="s">
        <v>2400</v>
      </c>
      <c r="C149" s="19">
        <f>VLOOKUP(A149,'Distribution Detail'!$A$2:$F$558,5,FALSE)</f>
        <v>1</v>
      </c>
      <c r="D149" s="25">
        <v>659524.48</v>
      </c>
      <c r="E149" s="19">
        <v>0.55578472999999995</v>
      </c>
      <c r="F149" s="20">
        <v>623795.25</v>
      </c>
      <c r="G149" s="20">
        <f t="shared" si="7"/>
        <v>1325052.8320335485</v>
      </c>
      <c r="H149" s="20">
        <v>0</v>
      </c>
      <c r="I149" s="20">
        <v>0</v>
      </c>
      <c r="J149" s="20">
        <v>0</v>
      </c>
      <c r="K149" s="20">
        <v>38821.519298176994</v>
      </c>
      <c r="L149" s="20">
        <f t="shared" si="6"/>
        <v>1363874.3513317255</v>
      </c>
    </row>
    <row r="150" spans="1:12">
      <c r="A150" s="23" t="s">
        <v>814</v>
      </c>
      <c r="B150" s="19" t="s">
        <v>2399</v>
      </c>
      <c r="C150" s="19" t="e">
        <f>VLOOKUP(A150,'Distribution Detail'!$A$2:$F$558,5,FALSE)</f>
        <v>#N/A</v>
      </c>
      <c r="D150" s="25">
        <v>310970.99</v>
      </c>
      <c r="E150" s="19">
        <v>0.28739437400000001</v>
      </c>
      <c r="F150" s="20">
        <v>307939.21000000002</v>
      </c>
      <c r="G150" s="20">
        <f t="shared" si="7"/>
        <v>1264982.3642600037</v>
      </c>
      <c r="H150" s="20">
        <v>2128.818944179689</v>
      </c>
      <c r="I150" s="20">
        <v>0</v>
      </c>
      <c r="J150" s="20">
        <v>0</v>
      </c>
      <c r="K150" s="20">
        <v>0</v>
      </c>
      <c r="L150" s="20">
        <f t="shared" si="6"/>
        <v>1267111.1832041834</v>
      </c>
    </row>
    <row r="151" spans="1:12">
      <c r="A151" s="23" t="s">
        <v>816</v>
      </c>
      <c r="B151" s="19" t="s">
        <v>2398</v>
      </c>
      <c r="C151" s="19" t="e">
        <f>VLOOKUP(A151,'Distribution Detail'!$A$2:$F$558,5,FALSE)</f>
        <v>#N/A</v>
      </c>
      <c r="D151" s="25">
        <v>243310.45</v>
      </c>
      <c r="E151" s="19">
        <v>0.59142508800000004</v>
      </c>
      <c r="F151" s="20">
        <v>207099.06</v>
      </c>
      <c r="G151" s="20">
        <f t="shared" si="7"/>
        <v>413405.38198007044</v>
      </c>
      <c r="H151" s="20">
        <v>0</v>
      </c>
      <c r="I151" s="20">
        <v>0</v>
      </c>
      <c r="J151" s="20">
        <v>0</v>
      </c>
      <c r="K151" s="20">
        <v>39345.409226530021</v>
      </c>
      <c r="L151" s="20">
        <f t="shared" si="6"/>
        <v>452750.79120660044</v>
      </c>
    </row>
    <row r="152" spans="1:12">
      <c r="A152" s="23" t="s">
        <v>818</v>
      </c>
      <c r="B152" s="19" t="s">
        <v>2397</v>
      </c>
      <c r="C152" s="19" t="e">
        <f>VLOOKUP(A152,'Distribution Detail'!$A$2:$F$558,5,FALSE)</f>
        <v>#N/A</v>
      </c>
      <c r="D152" s="25">
        <v>773228.63</v>
      </c>
      <c r="E152" s="19">
        <v>0.47658295899999997</v>
      </c>
      <c r="F152" s="20">
        <v>773228.63</v>
      </c>
      <c r="G152" s="20">
        <f t="shared" si="7"/>
        <v>1915433.8514987696</v>
      </c>
      <c r="H152" s="20">
        <v>0</v>
      </c>
      <c r="I152" s="20">
        <v>0</v>
      </c>
      <c r="J152" s="20">
        <v>0</v>
      </c>
      <c r="K152" s="20">
        <v>0</v>
      </c>
      <c r="L152" s="20">
        <f t="shared" si="6"/>
        <v>1915433.8514987696</v>
      </c>
    </row>
    <row r="153" spans="1:12">
      <c r="A153" s="23" t="s">
        <v>819</v>
      </c>
      <c r="B153" s="19" t="s">
        <v>2396</v>
      </c>
      <c r="C153" s="19">
        <f>VLOOKUP(A153,'Distribution Detail'!$A$2:$F$558,5,FALSE)</f>
        <v>1</v>
      </c>
      <c r="D153" s="25">
        <v>945349.97</v>
      </c>
      <c r="E153" s="19">
        <v>0.54495698199999998</v>
      </c>
      <c r="F153" s="20">
        <v>763663.42</v>
      </c>
      <c r="G153" s="20">
        <f t="shared" si="7"/>
        <v>1654388.5233990713</v>
      </c>
      <c r="H153" s="20">
        <v>0</v>
      </c>
      <c r="I153" s="20">
        <v>0</v>
      </c>
      <c r="J153" s="20">
        <v>0</v>
      </c>
      <c r="K153" s="20">
        <v>197411.13668120466</v>
      </c>
      <c r="L153" s="20">
        <f t="shared" si="6"/>
        <v>1851799.660080276</v>
      </c>
    </row>
    <row r="154" spans="1:12">
      <c r="A154" s="23" t="s">
        <v>821</v>
      </c>
      <c r="B154" s="19" t="s">
        <v>2395</v>
      </c>
      <c r="C154" s="19" t="e">
        <f>VLOOKUP(A154,'Distribution Detail'!$A$2:$F$558,5,FALSE)</f>
        <v>#N/A</v>
      </c>
      <c r="D154" s="25">
        <v>1875838.77</v>
      </c>
      <c r="E154" s="19">
        <v>0.9</v>
      </c>
      <c r="F154" s="20">
        <v>1843931.04</v>
      </c>
      <c r="G154" s="20">
        <f t="shared" si="7"/>
        <v>2418799.7075281665</v>
      </c>
      <c r="H154" s="20">
        <v>0</v>
      </c>
      <c r="I154" s="20">
        <v>0</v>
      </c>
      <c r="J154" s="20">
        <v>0</v>
      </c>
      <c r="K154" s="20">
        <v>0</v>
      </c>
      <c r="L154" s="20">
        <f t="shared" si="6"/>
        <v>2418799.7075281665</v>
      </c>
    </row>
    <row r="155" spans="1:12">
      <c r="A155" s="23" t="s">
        <v>823</v>
      </c>
      <c r="B155" s="19" t="s">
        <v>2394</v>
      </c>
      <c r="C155" s="19">
        <f>VLOOKUP(A155,'Distribution Detail'!$A$2:$F$558,5,FALSE)</f>
        <v>1</v>
      </c>
      <c r="D155" s="25">
        <v>363557.53</v>
      </c>
      <c r="E155" s="19">
        <v>0.48346859800000003</v>
      </c>
      <c r="F155" s="20">
        <v>363557.53</v>
      </c>
      <c r="G155" s="20">
        <f t="shared" si="7"/>
        <v>887774.3942013873</v>
      </c>
      <c r="H155" s="20">
        <v>0</v>
      </c>
      <c r="I155" s="20">
        <v>0</v>
      </c>
      <c r="J155" s="20">
        <v>0</v>
      </c>
      <c r="K155" s="20">
        <v>0</v>
      </c>
      <c r="L155" s="20">
        <f t="shared" si="6"/>
        <v>887774.3942013873</v>
      </c>
    </row>
    <row r="156" spans="1:12">
      <c r="A156" s="23" t="s">
        <v>825</v>
      </c>
      <c r="B156" s="19" t="s">
        <v>826</v>
      </c>
      <c r="C156" s="19">
        <f>VLOOKUP(A156,'Distribution Detail'!$A$2:$F$558,5,FALSE)</f>
        <v>1</v>
      </c>
      <c r="D156" s="25">
        <v>589964.59</v>
      </c>
      <c r="E156" s="19">
        <v>0.73358231399999996</v>
      </c>
      <c r="F156" s="20">
        <v>589964.59</v>
      </c>
      <c r="G156" s="20">
        <f t="shared" si="7"/>
        <v>949455.98229973146</v>
      </c>
      <c r="H156" s="20">
        <v>0</v>
      </c>
      <c r="I156" s="20">
        <v>0</v>
      </c>
      <c r="J156" s="20">
        <v>0</v>
      </c>
      <c r="K156" s="20">
        <v>0</v>
      </c>
      <c r="L156" s="20">
        <f t="shared" si="6"/>
        <v>949455.98229973146</v>
      </c>
    </row>
    <row r="157" spans="1:12">
      <c r="A157" s="23" t="s">
        <v>827</v>
      </c>
      <c r="B157" s="19" t="s">
        <v>2393</v>
      </c>
      <c r="C157" s="19" t="e">
        <f>VLOOKUP(A157,'Distribution Detail'!$A$2:$F$558,5,FALSE)</f>
        <v>#N/A</v>
      </c>
      <c r="D157" s="25">
        <v>825548.07</v>
      </c>
      <c r="E157" s="19">
        <v>0.78409903599999997</v>
      </c>
      <c r="F157" s="20">
        <v>673133.49</v>
      </c>
      <c r="G157" s="20">
        <f t="shared" si="7"/>
        <v>1013509.9579950006</v>
      </c>
      <c r="H157" s="20">
        <v>0</v>
      </c>
      <c r="I157" s="20">
        <v>0</v>
      </c>
      <c r="J157" s="20">
        <v>0</v>
      </c>
      <c r="K157" s="20">
        <v>165605.73958054904</v>
      </c>
      <c r="L157" s="20">
        <f t="shared" si="6"/>
        <v>1179115.6975755496</v>
      </c>
    </row>
    <row r="158" spans="1:12">
      <c r="A158" s="23" t="s">
        <v>828</v>
      </c>
      <c r="B158" s="19" t="s">
        <v>2392</v>
      </c>
      <c r="C158" s="19">
        <f>VLOOKUP(A158,'Distribution Detail'!$A$2:$F$558,5,FALSE)</f>
        <v>1</v>
      </c>
      <c r="D158" s="25">
        <v>93165.62</v>
      </c>
      <c r="E158" s="19">
        <v>0.86819117199999996</v>
      </c>
      <c r="F158" s="20">
        <v>93165.62</v>
      </c>
      <c r="G158" s="20">
        <f t="shared" si="7"/>
        <v>126688.75104625728</v>
      </c>
      <c r="H158" s="20">
        <v>0</v>
      </c>
      <c r="I158" s="20">
        <v>0</v>
      </c>
      <c r="J158" s="20">
        <v>0</v>
      </c>
      <c r="K158" s="20">
        <v>0</v>
      </c>
      <c r="L158" s="20">
        <f t="shared" si="6"/>
        <v>126688.75104625728</v>
      </c>
    </row>
    <row r="159" spans="1:12">
      <c r="A159" s="23" t="s">
        <v>830</v>
      </c>
      <c r="B159" s="19" t="s">
        <v>2391</v>
      </c>
      <c r="C159" s="19" t="e">
        <f>VLOOKUP(A159,'Distribution Detail'!$A$2:$F$558,5,FALSE)</f>
        <v>#N/A</v>
      </c>
      <c r="D159" s="25">
        <v>2862637.68</v>
      </c>
      <c r="E159" s="19">
        <v>0.42739811</v>
      </c>
      <c r="F159" s="20">
        <v>2845890.11</v>
      </c>
      <c r="G159" s="20">
        <f t="shared" si="7"/>
        <v>7861099.093154544</v>
      </c>
      <c r="H159" s="20">
        <v>0</v>
      </c>
      <c r="I159" s="20">
        <v>0</v>
      </c>
      <c r="J159" s="20">
        <v>0</v>
      </c>
      <c r="K159" s="20">
        <v>0</v>
      </c>
      <c r="L159" s="20">
        <f t="shared" si="6"/>
        <v>7861099.093154544</v>
      </c>
    </row>
    <row r="160" spans="1:12">
      <c r="A160" s="23" t="s">
        <v>832</v>
      </c>
      <c r="B160" s="19" t="s">
        <v>2390</v>
      </c>
      <c r="C160" s="19" t="e">
        <f>VLOOKUP(A160,'Distribution Detail'!$A$2:$F$558,5,FALSE)</f>
        <v>#N/A</v>
      </c>
      <c r="D160" s="25">
        <v>1158649.93</v>
      </c>
      <c r="E160" s="19">
        <v>0.65775725600000001</v>
      </c>
      <c r="F160" s="20">
        <v>1157996.8500000001</v>
      </c>
      <c r="G160" s="20">
        <f t="shared" si="7"/>
        <v>2078449.4768017505</v>
      </c>
      <c r="H160" s="20">
        <v>709.60269290027884</v>
      </c>
      <c r="I160" s="20">
        <v>0</v>
      </c>
      <c r="J160" s="20">
        <v>0</v>
      </c>
      <c r="K160" s="20">
        <v>0</v>
      </c>
      <c r="L160" s="20">
        <f t="shared" si="6"/>
        <v>2079159.0794946507</v>
      </c>
    </row>
    <row r="161" spans="1:12">
      <c r="A161" s="23" t="s">
        <v>834</v>
      </c>
      <c r="B161" s="19" t="s">
        <v>2389</v>
      </c>
      <c r="C161" s="19">
        <f>VLOOKUP(A161,'Distribution Detail'!$A$2:$F$558,5,FALSE)</f>
        <v>1</v>
      </c>
      <c r="D161" s="25">
        <v>360053.37</v>
      </c>
      <c r="E161" s="19">
        <v>0.05</v>
      </c>
      <c r="F161" s="20">
        <v>360053.37</v>
      </c>
      <c r="G161" s="20">
        <f t="shared" si="7"/>
        <v>1700296.3135659946</v>
      </c>
      <c r="H161" s="20">
        <v>0</v>
      </c>
      <c r="I161" s="20">
        <v>0</v>
      </c>
      <c r="J161" s="20">
        <v>0</v>
      </c>
      <c r="K161" s="20">
        <v>0</v>
      </c>
      <c r="L161" s="20">
        <f t="shared" si="6"/>
        <v>1700296.3135659946</v>
      </c>
    </row>
    <row r="162" spans="1:12">
      <c r="A162" s="23" t="s">
        <v>836</v>
      </c>
      <c r="B162" s="19" t="s">
        <v>2388</v>
      </c>
      <c r="C162" s="19" t="e">
        <f>VLOOKUP(A162,'Distribution Detail'!$A$2:$F$558,5,FALSE)</f>
        <v>#N/A</v>
      </c>
      <c r="D162" s="25">
        <v>695826.69</v>
      </c>
      <c r="E162" s="19">
        <v>0.872298507</v>
      </c>
      <c r="F162" s="20">
        <v>683619.2</v>
      </c>
      <c r="G162" s="20">
        <f t="shared" si="7"/>
        <v>925223.94594088139</v>
      </c>
      <c r="H162" s="20">
        <v>0</v>
      </c>
      <c r="I162" s="20">
        <v>0</v>
      </c>
      <c r="J162" s="20">
        <v>0</v>
      </c>
      <c r="K162" s="20">
        <v>0</v>
      </c>
      <c r="L162" s="20">
        <f t="shared" si="6"/>
        <v>925223.94594088139</v>
      </c>
    </row>
    <row r="163" spans="1:12">
      <c r="A163" s="23" t="s">
        <v>838</v>
      </c>
      <c r="B163" s="19" t="s">
        <v>2387</v>
      </c>
      <c r="C163" s="19" t="e">
        <f>VLOOKUP(A163,'Distribution Detail'!$A$2:$F$558,5,FALSE)</f>
        <v>#N/A</v>
      </c>
      <c r="D163" s="25">
        <v>114247.88</v>
      </c>
      <c r="E163" s="19">
        <v>0.32402464399999997</v>
      </c>
      <c r="F163" s="20">
        <v>114247.88</v>
      </c>
      <c r="G163" s="20">
        <f t="shared" si="7"/>
        <v>416263.0380839993</v>
      </c>
      <c r="H163" s="20">
        <v>0</v>
      </c>
      <c r="I163" s="20">
        <v>0</v>
      </c>
      <c r="J163" s="20">
        <v>0</v>
      </c>
      <c r="K163" s="20">
        <v>0</v>
      </c>
      <c r="L163" s="20">
        <f t="shared" si="6"/>
        <v>416263.0380839993</v>
      </c>
    </row>
    <row r="164" spans="1:12">
      <c r="A164" s="23" t="s">
        <v>840</v>
      </c>
      <c r="B164" s="19" t="s">
        <v>2386</v>
      </c>
      <c r="C164" s="19" t="e">
        <f>VLOOKUP(A164,'Distribution Detail'!$A$2:$F$558,5,FALSE)</f>
        <v>#N/A</v>
      </c>
      <c r="D164" s="25">
        <v>465042.89</v>
      </c>
      <c r="E164" s="19">
        <v>0.57888039400000002</v>
      </c>
      <c r="F164" s="20">
        <v>369955.29</v>
      </c>
      <c r="G164" s="20">
        <f t="shared" si="7"/>
        <v>754498.08644921251</v>
      </c>
      <c r="H164" s="20">
        <v>0</v>
      </c>
      <c r="I164" s="20">
        <v>0</v>
      </c>
      <c r="J164" s="20">
        <v>0</v>
      </c>
      <c r="K164" s="20">
        <v>103317.2306936739</v>
      </c>
      <c r="L164" s="20">
        <f t="shared" si="6"/>
        <v>857815.31714288646</v>
      </c>
    </row>
    <row r="165" spans="1:12">
      <c r="A165" s="23" t="s">
        <v>842</v>
      </c>
      <c r="B165" s="19" t="s">
        <v>2385</v>
      </c>
      <c r="C165" s="19" t="e">
        <f>VLOOKUP(A165,'Distribution Detail'!$A$2:$F$558,5,FALSE)</f>
        <v>#N/A</v>
      </c>
      <c r="D165" s="25">
        <v>1293558.1599999999</v>
      </c>
      <c r="E165" s="19">
        <v>0.31946729299999999</v>
      </c>
      <c r="F165" s="20">
        <v>1293260.1100000001</v>
      </c>
      <c r="G165" s="20">
        <f t="shared" si="7"/>
        <v>4779222.1946943812</v>
      </c>
      <c r="H165" s="20">
        <v>0</v>
      </c>
      <c r="I165" s="20">
        <v>0</v>
      </c>
      <c r="J165" s="20">
        <v>0</v>
      </c>
      <c r="K165" s="20">
        <v>0</v>
      </c>
      <c r="L165" s="20">
        <f t="shared" si="6"/>
        <v>4779222.1946943812</v>
      </c>
    </row>
    <row r="166" spans="1:12">
      <c r="A166" s="23" t="s">
        <v>844</v>
      </c>
      <c r="B166" s="19" t="s">
        <v>2384</v>
      </c>
      <c r="C166" s="19">
        <f>VLOOKUP(A166,'Distribution Detail'!$A$2:$F$558,5,FALSE)</f>
        <v>1</v>
      </c>
      <c r="D166" s="25">
        <v>917030.47</v>
      </c>
      <c r="E166" s="19">
        <v>0.44952292900000002</v>
      </c>
      <c r="F166" s="20">
        <v>664455.61</v>
      </c>
      <c r="G166" s="20">
        <f t="shared" si="7"/>
        <v>1745066.0336371099</v>
      </c>
      <c r="H166" s="20">
        <v>0</v>
      </c>
      <c r="I166" s="20">
        <v>0</v>
      </c>
      <c r="J166" s="20">
        <v>0</v>
      </c>
      <c r="K166" s="20">
        <v>274434.6800007823</v>
      </c>
      <c r="L166" s="20">
        <f t="shared" si="6"/>
        <v>2019500.7136378922</v>
      </c>
    </row>
    <row r="167" spans="1:12">
      <c r="A167" s="23" t="s">
        <v>846</v>
      </c>
      <c r="B167" s="19" t="s">
        <v>2383</v>
      </c>
      <c r="C167" s="19" t="e">
        <f>VLOOKUP(A167,'Distribution Detail'!$A$2:$F$558,5,FALSE)</f>
        <v>#N/A</v>
      </c>
      <c r="D167" s="25">
        <v>516569.06</v>
      </c>
      <c r="E167" s="19">
        <v>0.38691799100000002</v>
      </c>
      <c r="F167" s="20">
        <v>516208.07</v>
      </c>
      <c r="G167" s="20">
        <f t="shared" si="7"/>
        <v>1575083.5917491496</v>
      </c>
      <c r="H167" s="20">
        <v>0</v>
      </c>
      <c r="I167" s="20">
        <v>0</v>
      </c>
      <c r="J167" s="20">
        <v>0</v>
      </c>
      <c r="K167" s="20">
        <v>0</v>
      </c>
      <c r="L167" s="20">
        <f t="shared" si="6"/>
        <v>1575083.5917491496</v>
      </c>
    </row>
    <row r="168" spans="1:12">
      <c r="A168" s="23" t="s">
        <v>848</v>
      </c>
      <c r="B168" s="19" t="s">
        <v>2382</v>
      </c>
      <c r="C168" s="19" t="e">
        <f>VLOOKUP(A168,'Distribution Detail'!$A$2:$F$558,5,FALSE)</f>
        <v>#N/A</v>
      </c>
      <c r="D168" s="25">
        <v>1135823.72</v>
      </c>
      <c r="E168" s="19">
        <v>0.31167994900000001</v>
      </c>
      <c r="F168" s="20">
        <v>1135532.93</v>
      </c>
      <c r="G168" s="20">
        <f t="shared" si="7"/>
        <v>4301189.8344588121</v>
      </c>
      <c r="H168" s="20">
        <v>0</v>
      </c>
      <c r="I168" s="20">
        <v>0</v>
      </c>
      <c r="J168" s="20">
        <v>0</v>
      </c>
      <c r="K168" s="20">
        <v>0</v>
      </c>
      <c r="L168" s="20">
        <f t="shared" si="6"/>
        <v>4301189.8344588121</v>
      </c>
    </row>
    <row r="169" spans="1:12">
      <c r="A169" s="23" t="s">
        <v>850</v>
      </c>
      <c r="B169" s="19" t="s">
        <v>2381</v>
      </c>
      <c r="C169" s="19" t="e">
        <f>VLOOKUP(A169,'Distribution Detail'!$A$2:$F$558,5,FALSE)</f>
        <v>#N/A</v>
      </c>
      <c r="D169" s="25">
        <v>98718.16</v>
      </c>
      <c r="E169" s="19">
        <v>0.41822182400000002</v>
      </c>
      <c r="F169" s="20">
        <v>98718.16</v>
      </c>
      <c r="G169" s="20">
        <f t="shared" si="7"/>
        <v>278668.64246384287</v>
      </c>
      <c r="H169" s="20">
        <v>0</v>
      </c>
      <c r="I169" s="20">
        <v>0</v>
      </c>
      <c r="J169" s="20">
        <v>0</v>
      </c>
      <c r="K169" s="20">
        <v>0</v>
      </c>
      <c r="L169" s="20">
        <f t="shared" si="6"/>
        <v>278668.64246384287</v>
      </c>
    </row>
    <row r="170" spans="1:12">
      <c r="A170" s="23" t="s">
        <v>852</v>
      </c>
      <c r="B170" s="19" t="s">
        <v>2380</v>
      </c>
      <c r="C170" s="19" t="e">
        <f>VLOOKUP(A170,'Distribution Detail'!$A$2:$F$558,5,FALSE)</f>
        <v>#N/A</v>
      </c>
      <c r="D170" s="25">
        <v>1708209.26</v>
      </c>
      <c r="E170" s="19">
        <v>0.489746968</v>
      </c>
      <c r="F170" s="20">
        <v>1540282.35</v>
      </c>
      <c r="G170" s="20">
        <f t="shared" si="7"/>
        <v>3713011.7592468304</v>
      </c>
      <c r="H170" s="20">
        <v>0</v>
      </c>
      <c r="I170" s="20">
        <v>0</v>
      </c>
      <c r="J170" s="20">
        <v>0</v>
      </c>
      <c r="K170" s="20">
        <v>182460.62893737791</v>
      </c>
      <c r="L170" s="20">
        <f t="shared" si="6"/>
        <v>3895472.3881842084</v>
      </c>
    </row>
    <row r="171" spans="1:12">
      <c r="A171" s="23" t="s">
        <v>854</v>
      </c>
      <c r="B171" s="19" t="s">
        <v>2379</v>
      </c>
      <c r="C171" s="19" t="e">
        <f>VLOOKUP(A171,'Distribution Detail'!$A$2:$F$558,5,FALSE)</f>
        <v>#N/A</v>
      </c>
      <c r="D171" s="25">
        <v>3831540.2</v>
      </c>
      <c r="E171" s="19">
        <v>0.9</v>
      </c>
      <c r="F171" s="20">
        <v>3749998.21</v>
      </c>
      <c r="G171" s="20">
        <f t="shared" si="7"/>
        <v>4919107.2642169669</v>
      </c>
      <c r="H171" s="20">
        <v>85862.219208862749</v>
      </c>
      <c r="I171" s="20">
        <v>0</v>
      </c>
      <c r="J171" s="20">
        <v>0</v>
      </c>
      <c r="K171" s="20">
        <v>0</v>
      </c>
      <c r="L171" s="20">
        <f t="shared" si="6"/>
        <v>5004969.4834258296</v>
      </c>
    </row>
    <row r="172" spans="1:12">
      <c r="A172" s="23" t="s">
        <v>855</v>
      </c>
      <c r="B172" s="19" t="s">
        <v>2378</v>
      </c>
      <c r="C172" s="19" t="e">
        <f>VLOOKUP(A172,'Distribution Detail'!$A$2:$F$558,5,FALSE)</f>
        <v>#N/A</v>
      </c>
      <c r="D172" s="25">
        <v>1218967.82</v>
      </c>
      <c r="E172" s="19">
        <v>0.73236496799999995</v>
      </c>
      <c r="F172" s="20">
        <v>1218967.82</v>
      </c>
      <c r="G172" s="20">
        <f t="shared" si="7"/>
        <v>1964999.3920775934</v>
      </c>
      <c r="H172" s="20">
        <v>0</v>
      </c>
      <c r="I172" s="20">
        <v>0</v>
      </c>
      <c r="J172" s="20">
        <v>0</v>
      </c>
      <c r="K172" s="20">
        <v>0</v>
      </c>
      <c r="L172" s="20">
        <f t="shared" si="6"/>
        <v>1964999.3920775934</v>
      </c>
    </row>
    <row r="173" spans="1:12">
      <c r="A173" s="23" t="s">
        <v>857</v>
      </c>
      <c r="B173" s="19" t="s">
        <v>2377</v>
      </c>
      <c r="C173" s="19" t="e">
        <f>VLOOKUP(A173,'Distribution Detail'!$A$2:$F$558,5,FALSE)</f>
        <v>#N/A</v>
      </c>
      <c r="D173" s="25">
        <v>195066.13</v>
      </c>
      <c r="E173" s="19">
        <v>0.53480424900000001</v>
      </c>
      <c r="F173" s="20">
        <v>156174.1</v>
      </c>
      <c r="G173" s="20">
        <f t="shared" si="7"/>
        <v>344756.0566398963</v>
      </c>
      <c r="H173" s="20">
        <v>0</v>
      </c>
      <c r="I173" s="20">
        <v>0</v>
      </c>
      <c r="J173" s="20">
        <v>0</v>
      </c>
      <c r="K173" s="20">
        <v>42258.052949651545</v>
      </c>
      <c r="L173" s="20">
        <f t="shared" si="6"/>
        <v>387014.10958954785</v>
      </c>
    </row>
    <row r="174" spans="1:12">
      <c r="A174" s="23" t="s">
        <v>859</v>
      </c>
      <c r="B174" s="19" t="s">
        <v>2376</v>
      </c>
      <c r="C174" s="19" t="e">
        <f>VLOOKUP(A174,'Distribution Detail'!$A$2:$F$558,5,FALSE)</f>
        <v>#N/A</v>
      </c>
      <c r="D174" s="25">
        <v>559871.06999999995</v>
      </c>
      <c r="E174" s="19">
        <v>0.46482765599999998</v>
      </c>
      <c r="F174" s="20">
        <v>559871.06999999995</v>
      </c>
      <c r="G174" s="20">
        <f t="shared" si="7"/>
        <v>1421981.0511808197</v>
      </c>
      <c r="H174" s="20">
        <v>0</v>
      </c>
      <c r="I174" s="20">
        <v>0</v>
      </c>
      <c r="J174" s="20">
        <v>0</v>
      </c>
      <c r="K174" s="20">
        <v>0</v>
      </c>
      <c r="L174" s="20">
        <f t="shared" si="6"/>
        <v>1421981.0511808197</v>
      </c>
    </row>
    <row r="175" spans="1:12">
      <c r="A175" s="23" t="s">
        <v>861</v>
      </c>
      <c r="B175" s="19" t="s">
        <v>2375</v>
      </c>
      <c r="C175" s="19">
        <f>VLOOKUP(A175,'Distribution Detail'!$A$2:$F$558,5,FALSE)</f>
        <v>1</v>
      </c>
      <c r="D175" s="25">
        <v>355513.63</v>
      </c>
      <c r="E175" s="19">
        <v>0.40805259199999999</v>
      </c>
      <c r="F175" s="20">
        <v>230134.63</v>
      </c>
      <c r="G175" s="20">
        <f t="shared" si="7"/>
        <v>665830.33231146843</v>
      </c>
      <c r="H175" s="20">
        <v>0</v>
      </c>
      <c r="I175" s="20">
        <v>0</v>
      </c>
      <c r="J175" s="20">
        <v>0</v>
      </c>
      <c r="K175" s="20">
        <v>136230.28730499183</v>
      </c>
      <c r="L175" s="20">
        <f t="shared" si="6"/>
        <v>802060.61961646029</v>
      </c>
    </row>
    <row r="176" spans="1:12">
      <c r="A176" s="23" t="s">
        <v>863</v>
      </c>
      <c r="B176" s="19" t="s">
        <v>2374</v>
      </c>
      <c r="C176" s="19">
        <f>VLOOKUP(A176,'Distribution Detail'!$A$2:$F$558,5,FALSE)</f>
        <v>1</v>
      </c>
      <c r="D176" s="25">
        <v>232486.59</v>
      </c>
      <c r="E176" s="19">
        <v>0.47537875400000001</v>
      </c>
      <c r="F176" s="20">
        <v>172527.85</v>
      </c>
      <c r="G176" s="20">
        <f t="shared" si="7"/>
        <v>428466.80791440554</v>
      </c>
      <c r="H176" s="20">
        <v>0</v>
      </c>
      <c r="I176" s="20">
        <v>0</v>
      </c>
      <c r="J176" s="20">
        <v>0</v>
      </c>
      <c r="K176" s="20">
        <v>65148.042149365559</v>
      </c>
      <c r="L176" s="20">
        <f t="shared" si="6"/>
        <v>493614.85006377113</v>
      </c>
    </row>
    <row r="177" spans="1:12">
      <c r="A177" s="23" t="s">
        <v>865</v>
      </c>
      <c r="B177" s="19" t="s">
        <v>2373</v>
      </c>
      <c r="C177" s="19" t="e">
        <f>VLOOKUP(A177,'Distribution Detail'!$A$2:$F$558,5,FALSE)</f>
        <v>#N/A</v>
      </c>
      <c r="D177" s="25">
        <v>98163.7</v>
      </c>
      <c r="E177" s="19">
        <v>0.64499573600000004</v>
      </c>
      <c r="F177" s="20">
        <v>78581.88</v>
      </c>
      <c r="G177" s="20">
        <f t="shared" si="7"/>
        <v>143834.58110491498</v>
      </c>
      <c r="H177" s="20">
        <v>0</v>
      </c>
      <c r="I177" s="20">
        <v>0</v>
      </c>
      <c r="J177" s="20">
        <v>0</v>
      </c>
      <c r="K177" s="20">
        <v>21276.585110382399</v>
      </c>
      <c r="L177" s="20">
        <f t="shared" si="6"/>
        <v>165111.16621529739</v>
      </c>
    </row>
    <row r="178" spans="1:12">
      <c r="A178" s="23" t="s">
        <v>867</v>
      </c>
      <c r="B178" s="19" t="s">
        <v>2372</v>
      </c>
      <c r="C178" s="19">
        <f>VLOOKUP(A178,'Distribution Detail'!$A$2:$F$558,5,FALSE)</f>
        <v>1</v>
      </c>
      <c r="D178" s="25">
        <v>227960.48</v>
      </c>
      <c r="E178" s="19">
        <v>0.62740663500000005</v>
      </c>
      <c r="F178" s="20">
        <v>225946.83</v>
      </c>
      <c r="G178" s="20">
        <f t="shared" si="7"/>
        <v>425162.43647262442</v>
      </c>
      <c r="H178" s="20">
        <v>0</v>
      </c>
      <c r="I178" s="20">
        <v>0</v>
      </c>
      <c r="J178" s="20">
        <v>0</v>
      </c>
      <c r="K178" s="20">
        <v>2187.9271491373897</v>
      </c>
      <c r="L178" s="20">
        <f t="shared" si="6"/>
        <v>427350.36362176179</v>
      </c>
    </row>
    <row r="179" spans="1:12">
      <c r="A179" s="23" t="s">
        <v>869</v>
      </c>
      <c r="B179" s="19" t="s">
        <v>2371</v>
      </c>
      <c r="C179" s="19" t="e">
        <f>VLOOKUP(A179,'Distribution Detail'!$A$2:$F$558,5,FALSE)</f>
        <v>#N/A</v>
      </c>
      <c r="D179" s="25">
        <v>943759.08</v>
      </c>
      <c r="E179" s="19">
        <v>0.27533154900000001</v>
      </c>
      <c r="F179" s="20">
        <v>495170.43</v>
      </c>
      <c r="G179" s="20">
        <f t="shared" si="7"/>
        <v>2123227.1833192678</v>
      </c>
      <c r="H179" s="20">
        <v>0</v>
      </c>
      <c r="I179" s="20">
        <v>0</v>
      </c>
      <c r="J179" s="20">
        <v>0</v>
      </c>
      <c r="K179" s="20">
        <v>487413.04900548275</v>
      </c>
      <c r="L179" s="20">
        <f t="shared" si="6"/>
        <v>2610640.2323247506</v>
      </c>
    </row>
    <row r="180" spans="1:12">
      <c r="A180" s="23" t="s">
        <v>871</v>
      </c>
      <c r="B180" s="19" t="s">
        <v>2370</v>
      </c>
      <c r="C180" s="19" t="e">
        <f>VLOOKUP(A180,'Distribution Detail'!$A$2:$F$558,5,FALSE)</f>
        <v>#N/A</v>
      </c>
      <c r="D180" s="25">
        <v>550980.52</v>
      </c>
      <c r="E180" s="19">
        <v>0.51771264299999997</v>
      </c>
      <c r="F180" s="20">
        <v>375941.21</v>
      </c>
      <c r="G180" s="20">
        <f t="shared" si="7"/>
        <v>857292.2657838898</v>
      </c>
      <c r="H180" s="20">
        <v>0</v>
      </c>
      <c r="I180" s="20">
        <v>0</v>
      </c>
      <c r="J180" s="20">
        <v>0</v>
      </c>
      <c r="K180" s="20">
        <v>190188.59211644315</v>
      </c>
      <c r="L180" s="20">
        <f t="shared" si="6"/>
        <v>1047480.8579003329</v>
      </c>
    </row>
    <row r="181" spans="1:12">
      <c r="A181" s="23" t="s">
        <v>873</v>
      </c>
      <c r="B181" s="19" t="s">
        <v>2369</v>
      </c>
      <c r="C181" s="19" t="e">
        <f>VLOOKUP(A181,'Distribution Detail'!$A$2:$F$558,5,FALSE)</f>
        <v>#N/A</v>
      </c>
      <c r="D181" s="25">
        <v>241104.87</v>
      </c>
      <c r="E181" s="19">
        <v>0.55115368399999998</v>
      </c>
      <c r="F181" s="20">
        <v>180101.11</v>
      </c>
      <c r="G181" s="20">
        <f t="shared" si="7"/>
        <v>385781.51703263173</v>
      </c>
      <c r="H181" s="20">
        <v>0</v>
      </c>
      <c r="I181" s="20">
        <v>0</v>
      </c>
      <c r="J181" s="20">
        <v>0</v>
      </c>
      <c r="K181" s="20">
        <v>66283.506420411461</v>
      </c>
      <c r="L181" s="20">
        <f t="shared" si="6"/>
        <v>452065.02345304319</v>
      </c>
    </row>
    <row r="182" spans="1:12">
      <c r="A182" s="23" t="s">
        <v>874</v>
      </c>
      <c r="B182" s="19" t="s">
        <v>2368</v>
      </c>
      <c r="C182" s="19">
        <f>VLOOKUP(A182,'Distribution Detail'!$A$2:$F$558,5,FALSE)</f>
        <v>1</v>
      </c>
      <c r="D182" s="25">
        <v>875596.48</v>
      </c>
      <c r="E182" s="19">
        <v>0.227899515</v>
      </c>
      <c r="F182" s="20">
        <v>451831.68</v>
      </c>
      <c r="G182" s="20">
        <f t="shared" si="7"/>
        <v>2133705.1778083071</v>
      </c>
      <c r="H182" s="20">
        <v>0</v>
      </c>
      <c r="I182" s="20">
        <v>0</v>
      </c>
      <c r="J182" s="20">
        <v>0</v>
      </c>
      <c r="K182" s="20">
        <v>460440.74728417356</v>
      </c>
      <c r="L182" s="20">
        <f t="shared" si="6"/>
        <v>2594145.9250924806</v>
      </c>
    </row>
    <row r="183" spans="1:12">
      <c r="A183" s="23" t="s">
        <v>876</v>
      </c>
      <c r="B183" s="19" t="s">
        <v>2367</v>
      </c>
      <c r="C183" s="19">
        <f>VLOOKUP(A183,'Distribution Detail'!$A$2:$F$558,5,FALSE)</f>
        <v>1</v>
      </c>
      <c r="D183" s="25">
        <v>169033.46</v>
      </c>
      <c r="E183" s="19">
        <v>0.05</v>
      </c>
      <c r="F183" s="20">
        <v>169033.46</v>
      </c>
      <c r="G183" s="20">
        <f t="shared" si="7"/>
        <v>798234.35316632362</v>
      </c>
      <c r="H183" s="20">
        <v>0</v>
      </c>
      <c r="I183" s="20">
        <v>0</v>
      </c>
      <c r="J183" s="20">
        <v>0</v>
      </c>
      <c r="K183" s="20">
        <v>0</v>
      </c>
      <c r="L183" s="20">
        <f t="shared" si="6"/>
        <v>798234.35316632362</v>
      </c>
    </row>
    <row r="184" spans="1:12">
      <c r="A184" s="23" t="s">
        <v>878</v>
      </c>
      <c r="B184" s="19" t="s">
        <v>2366</v>
      </c>
      <c r="C184" s="19" t="e">
        <f>VLOOKUP(A184,'Distribution Detail'!$A$2:$F$558,5,FALSE)</f>
        <v>#N/A</v>
      </c>
      <c r="D184" s="25">
        <v>514829.53</v>
      </c>
      <c r="E184" s="19">
        <v>0.67750400099999997</v>
      </c>
      <c r="F184" s="20">
        <v>496825.92</v>
      </c>
      <c r="G184" s="20">
        <f t="shared" si="7"/>
        <v>865745.26087187766</v>
      </c>
      <c r="H184" s="20">
        <v>0</v>
      </c>
      <c r="I184" s="20">
        <v>0</v>
      </c>
      <c r="J184" s="20">
        <v>0</v>
      </c>
      <c r="K184" s="20">
        <v>19561.784372399077</v>
      </c>
      <c r="L184" s="20">
        <f t="shared" si="6"/>
        <v>885307.04524427676</v>
      </c>
    </row>
    <row r="185" spans="1:12">
      <c r="A185" s="23" t="s">
        <v>880</v>
      </c>
      <c r="B185" s="19" t="s">
        <v>2365</v>
      </c>
      <c r="C185" s="19" t="e">
        <f>VLOOKUP(A185,'Distribution Detail'!$A$2:$F$558,5,FALSE)</f>
        <v>#N/A</v>
      </c>
      <c r="D185" s="25">
        <v>846251.69</v>
      </c>
      <c r="E185" s="19">
        <v>0.62360409999999999</v>
      </c>
      <c r="F185" s="20">
        <v>727051.98</v>
      </c>
      <c r="G185" s="20">
        <f t="shared" si="7"/>
        <v>1376430.3538502166</v>
      </c>
      <c r="H185" s="20">
        <v>0</v>
      </c>
      <c r="I185" s="20">
        <v>0</v>
      </c>
      <c r="J185" s="20">
        <v>0</v>
      </c>
      <c r="K185" s="20">
        <v>129516.19282313391</v>
      </c>
      <c r="L185" s="20">
        <f t="shared" si="6"/>
        <v>1505946.5466733505</v>
      </c>
    </row>
    <row r="186" spans="1:12">
      <c r="A186" s="23" t="s">
        <v>882</v>
      </c>
      <c r="B186" s="19" t="s">
        <v>2364</v>
      </c>
      <c r="C186" s="19" t="e">
        <f>VLOOKUP(A186,'Distribution Detail'!$A$2:$F$558,5,FALSE)</f>
        <v>#N/A</v>
      </c>
      <c r="D186" s="25">
        <v>207886.2</v>
      </c>
      <c r="E186" s="19">
        <v>0.495858515</v>
      </c>
      <c r="F186" s="20">
        <v>166033.04</v>
      </c>
      <c r="G186" s="20">
        <f t="shared" si="7"/>
        <v>395306.98292938701</v>
      </c>
      <c r="H186" s="20">
        <v>0</v>
      </c>
      <c r="I186" s="20">
        <v>506.86372299113594</v>
      </c>
      <c r="J186" s="20">
        <v>0</v>
      </c>
      <c r="K186" s="20">
        <v>44968.598766116222</v>
      </c>
      <c r="L186" s="20">
        <f t="shared" si="6"/>
        <v>440782.4454184944</v>
      </c>
    </row>
    <row r="187" spans="1:12">
      <c r="A187" s="23" t="s">
        <v>884</v>
      </c>
      <c r="B187" s="19" t="s">
        <v>2363</v>
      </c>
      <c r="C187" s="19">
        <f>VLOOKUP(A187,'Distribution Detail'!$A$2:$F$558,5,FALSE)</f>
        <v>1</v>
      </c>
      <c r="D187" s="25">
        <v>163122.69</v>
      </c>
      <c r="E187" s="19">
        <v>0.37509128400000002</v>
      </c>
      <c r="F187" s="20">
        <v>163122.69</v>
      </c>
      <c r="G187" s="20">
        <f t="shared" si="7"/>
        <v>513422.79167989956</v>
      </c>
      <c r="H187" s="20">
        <v>0</v>
      </c>
      <c r="I187" s="20">
        <v>0</v>
      </c>
      <c r="J187" s="20">
        <v>0</v>
      </c>
      <c r="K187" s="20">
        <v>0</v>
      </c>
      <c r="L187" s="20">
        <f t="shared" si="6"/>
        <v>513422.79167989956</v>
      </c>
    </row>
    <row r="188" spans="1:12">
      <c r="A188" s="23" t="s">
        <v>886</v>
      </c>
      <c r="B188" s="19" t="s">
        <v>2362</v>
      </c>
      <c r="C188" s="19" t="e">
        <f>VLOOKUP(A188,'Distribution Detail'!$A$2:$F$558,5,FALSE)</f>
        <v>#N/A</v>
      </c>
      <c r="D188" s="25">
        <v>159417.70000000001</v>
      </c>
      <c r="E188" s="19">
        <v>0.532497055</v>
      </c>
      <c r="F188" s="20">
        <v>124166.29</v>
      </c>
      <c r="G188" s="20">
        <f t="shared" si="7"/>
        <v>275286.07037684991</v>
      </c>
      <c r="H188" s="20">
        <v>0</v>
      </c>
      <c r="I188" s="20">
        <v>0</v>
      </c>
      <c r="J188" s="20">
        <v>0</v>
      </c>
      <c r="K188" s="20">
        <v>38302.344987645956</v>
      </c>
      <c r="L188" s="20">
        <f t="shared" si="6"/>
        <v>313588.41536449589</v>
      </c>
    </row>
    <row r="189" spans="1:12">
      <c r="A189" s="23" t="s">
        <v>888</v>
      </c>
      <c r="B189" s="19" t="s">
        <v>2361</v>
      </c>
      <c r="C189" s="19">
        <f>VLOOKUP(A189,'Distribution Detail'!$A$2:$F$558,5,FALSE)</f>
        <v>1</v>
      </c>
      <c r="D189" s="25">
        <v>259288.26</v>
      </c>
      <c r="E189" s="19">
        <v>0.72491788899999998</v>
      </c>
      <c r="F189" s="20">
        <v>236297.34</v>
      </c>
      <c r="G189" s="20">
        <f t="shared" si="7"/>
        <v>384828.96919045504</v>
      </c>
      <c r="H189" s="20">
        <v>0</v>
      </c>
      <c r="I189" s="20">
        <v>0</v>
      </c>
      <c r="J189" s="20">
        <v>0</v>
      </c>
      <c r="K189" s="20">
        <v>24980.735505994482</v>
      </c>
      <c r="L189" s="20">
        <f t="shared" si="6"/>
        <v>409809.70469644951</v>
      </c>
    </row>
    <row r="190" spans="1:12">
      <c r="A190" s="23" t="s">
        <v>890</v>
      </c>
      <c r="B190" s="19" t="s">
        <v>2360</v>
      </c>
      <c r="C190" s="19" t="e">
        <f>VLOOKUP(A190,'Distribution Detail'!$A$2:$F$558,5,FALSE)</f>
        <v>#N/A</v>
      </c>
      <c r="D190" s="25">
        <v>526194.68999999994</v>
      </c>
      <c r="E190" s="19">
        <v>0.74648968400000004</v>
      </c>
      <c r="F190" s="20">
        <v>436677.87</v>
      </c>
      <c r="G190" s="20">
        <f t="shared" si="7"/>
        <v>690613.58102843724</v>
      </c>
      <c r="H190" s="20">
        <v>0</v>
      </c>
      <c r="I190" s="20">
        <v>0</v>
      </c>
      <c r="J190" s="20">
        <v>0</v>
      </c>
      <c r="K190" s="20">
        <v>97264.311465470601</v>
      </c>
      <c r="L190" s="20">
        <f t="shared" si="6"/>
        <v>787877.89249390783</v>
      </c>
    </row>
    <row r="191" spans="1:12">
      <c r="A191" s="23" t="s">
        <v>892</v>
      </c>
      <c r="B191" s="19" t="s">
        <v>2359</v>
      </c>
      <c r="C191" s="19" t="e">
        <f>VLOOKUP(A191,'Distribution Detail'!$A$2:$F$558,5,FALSE)</f>
        <v>#N/A</v>
      </c>
      <c r="D191" s="25">
        <v>0</v>
      </c>
      <c r="E191" s="19">
        <v>0.50171349499999995</v>
      </c>
      <c r="F191" s="20">
        <v>0</v>
      </c>
      <c r="G191" s="20">
        <f t="shared" si="7"/>
        <v>0</v>
      </c>
      <c r="H191" s="20">
        <v>0</v>
      </c>
      <c r="I191" s="20">
        <v>0</v>
      </c>
      <c r="J191" s="20">
        <v>0</v>
      </c>
      <c r="K191" s="20">
        <v>0</v>
      </c>
      <c r="L191" s="20">
        <f t="shared" si="6"/>
        <v>0</v>
      </c>
    </row>
    <row r="192" spans="1:12">
      <c r="A192" s="23" t="s">
        <v>894</v>
      </c>
      <c r="B192" s="19" t="s">
        <v>2358</v>
      </c>
      <c r="C192" s="19">
        <f>VLOOKUP(A192,'Distribution Detail'!$A$2:$F$558,5,FALSE)</f>
        <v>1</v>
      </c>
      <c r="D192" s="25">
        <v>322876.63</v>
      </c>
      <c r="E192" s="19">
        <v>0.62133907200000005</v>
      </c>
      <c r="F192" s="20">
        <v>253167.94</v>
      </c>
      <c r="G192" s="20">
        <f t="shared" si="7"/>
        <v>481036.22770650667</v>
      </c>
      <c r="H192" s="20">
        <v>0</v>
      </c>
      <c r="I192" s="20">
        <v>0</v>
      </c>
      <c r="J192" s="20">
        <v>0</v>
      </c>
      <c r="K192" s="20">
        <v>75741.829703176845</v>
      </c>
      <c r="L192" s="20">
        <f t="shared" si="6"/>
        <v>556778.05740968348</v>
      </c>
    </row>
    <row r="193" spans="1:12">
      <c r="A193" s="23" t="s">
        <v>896</v>
      </c>
      <c r="B193" s="19" t="s">
        <v>2357</v>
      </c>
      <c r="C193" s="19" t="e">
        <f>VLOOKUP(A193,'Distribution Detail'!$A$2:$F$558,5,FALSE)</f>
        <v>#N/A</v>
      </c>
      <c r="D193" s="25">
        <v>105321.79</v>
      </c>
      <c r="E193" s="19">
        <v>0.51757072900000001</v>
      </c>
      <c r="F193" s="20">
        <v>76420.429999999993</v>
      </c>
      <c r="G193" s="20">
        <f t="shared" si="7"/>
        <v>174316.10439637027</v>
      </c>
      <c r="H193" s="20">
        <v>0</v>
      </c>
      <c r="I193" s="20">
        <v>0</v>
      </c>
      <c r="J193" s="20">
        <v>0</v>
      </c>
      <c r="K193" s="20">
        <v>31402.711588902435</v>
      </c>
      <c r="L193" s="20">
        <f t="shared" si="6"/>
        <v>205718.8159852727</v>
      </c>
    </row>
    <row r="194" spans="1:12">
      <c r="A194" s="23" t="s">
        <v>898</v>
      </c>
      <c r="B194" s="19" t="s">
        <v>2356</v>
      </c>
      <c r="C194" s="19" t="e">
        <f>VLOOKUP(A194,'Distribution Detail'!$A$2:$F$558,5,FALSE)</f>
        <v>#N/A</v>
      </c>
      <c r="D194" s="25">
        <v>410277.18</v>
      </c>
      <c r="E194" s="19">
        <v>0.33466643600000001</v>
      </c>
      <c r="F194" s="20">
        <v>410277.18</v>
      </c>
      <c r="G194" s="20">
        <f t="shared" si="7"/>
        <v>1447314.6054004636</v>
      </c>
      <c r="H194" s="20">
        <v>0</v>
      </c>
      <c r="I194" s="20">
        <v>0</v>
      </c>
      <c r="J194" s="20">
        <v>0</v>
      </c>
      <c r="K194" s="20">
        <v>0</v>
      </c>
      <c r="L194" s="20">
        <f t="shared" ref="L194:L257" si="8">SUM(G194:K194)</f>
        <v>1447314.6054004636</v>
      </c>
    </row>
    <row r="195" spans="1:12">
      <c r="A195" s="23" t="s">
        <v>900</v>
      </c>
      <c r="B195" s="19" t="s">
        <v>2355</v>
      </c>
      <c r="C195" s="19" t="e">
        <f>VLOOKUP(A195,'Distribution Detail'!$A$2:$F$558,5,FALSE)</f>
        <v>#N/A</v>
      </c>
      <c r="D195" s="25">
        <v>1133692.22</v>
      </c>
      <c r="E195" s="19">
        <v>0.69094464300000002</v>
      </c>
      <c r="F195" s="20">
        <v>869674.03</v>
      </c>
      <c r="G195" s="20">
        <f t="shared" ref="G195:G258" si="9">(F195/(IF(E195&lt;0.25,0.25,E195))/0.920346)/0.920346</f>
        <v>1485973.2421775348</v>
      </c>
      <c r="H195" s="20">
        <v>0</v>
      </c>
      <c r="I195" s="20">
        <v>0</v>
      </c>
      <c r="J195" s="20">
        <v>0</v>
      </c>
      <c r="K195" s="20">
        <v>286868.40601252136</v>
      </c>
      <c r="L195" s="20">
        <f t="shared" si="8"/>
        <v>1772841.6481900562</v>
      </c>
    </row>
    <row r="196" spans="1:12">
      <c r="A196" s="23" t="s">
        <v>902</v>
      </c>
      <c r="B196" s="19" t="s">
        <v>2354</v>
      </c>
      <c r="C196" s="19">
        <f>VLOOKUP(A196,'Distribution Detail'!$A$2:$F$558,5,FALSE)</f>
        <v>1</v>
      </c>
      <c r="D196" s="25">
        <v>230811.1</v>
      </c>
      <c r="E196" s="19">
        <v>0.59944298299999998</v>
      </c>
      <c r="F196" s="20">
        <v>197420.58</v>
      </c>
      <c r="G196" s="20">
        <f t="shared" si="9"/>
        <v>388814.34943278524</v>
      </c>
      <c r="H196" s="20">
        <v>0</v>
      </c>
      <c r="I196" s="20">
        <v>0</v>
      </c>
      <c r="J196" s="20">
        <v>0</v>
      </c>
      <c r="K196" s="20">
        <v>36280.398893459627</v>
      </c>
      <c r="L196" s="20">
        <f t="shared" si="8"/>
        <v>425094.74832624488</v>
      </c>
    </row>
    <row r="197" spans="1:12">
      <c r="A197" s="23" t="s">
        <v>904</v>
      </c>
      <c r="B197" s="19" t="s">
        <v>2353</v>
      </c>
      <c r="C197" s="19" t="e">
        <f>VLOOKUP(A197,'Distribution Detail'!$A$2:$F$558,5,FALSE)</f>
        <v>#N/A</v>
      </c>
      <c r="D197" s="25">
        <v>557024.78</v>
      </c>
      <c r="E197" s="19">
        <v>0.581912015</v>
      </c>
      <c r="F197" s="20">
        <v>557024.78</v>
      </c>
      <c r="G197" s="20">
        <f t="shared" si="9"/>
        <v>1130094.9472528098</v>
      </c>
      <c r="H197" s="20">
        <v>0</v>
      </c>
      <c r="I197" s="20">
        <v>0</v>
      </c>
      <c r="J197" s="20">
        <v>0</v>
      </c>
      <c r="K197" s="20">
        <v>0</v>
      </c>
      <c r="L197" s="20">
        <f t="shared" si="8"/>
        <v>1130094.9472528098</v>
      </c>
    </row>
    <row r="198" spans="1:12">
      <c r="A198" s="23" t="s">
        <v>906</v>
      </c>
      <c r="B198" s="19" t="s">
        <v>2352</v>
      </c>
      <c r="C198" s="19" t="e">
        <f>VLOOKUP(A198,'Distribution Detail'!$A$2:$F$558,5,FALSE)</f>
        <v>#N/A</v>
      </c>
      <c r="D198" s="25">
        <v>330039.78000000003</v>
      </c>
      <c r="E198" s="19">
        <v>0.05</v>
      </c>
      <c r="F198" s="20">
        <v>330039.78000000003</v>
      </c>
      <c r="G198" s="20">
        <f t="shared" si="9"/>
        <v>1558561.7800609169</v>
      </c>
      <c r="H198" s="20">
        <v>0</v>
      </c>
      <c r="I198" s="20">
        <v>0</v>
      </c>
      <c r="J198" s="20">
        <v>0</v>
      </c>
      <c r="K198" s="20">
        <v>0</v>
      </c>
      <c r="L198" s="20">
        <f t="shared" si="8"/>
        <v>1558561.7800609169</v>
      </c>
    </row>
    <row r="199" spans="1:12">
      <c r="A199" s="23" t="s">
        <v>908</v>
      </c>
      <c r="B199" s="19" t="s">
        <v>2351</v>
      </c>
      <c r="C199" s="19">
        <f>VLOOKUP(A199,'Distribution Detail'!$A$2:$F$558,5,FALSE)</f>
        <v>1</v>
      </c>
      <c r="D199" s="25">
        <v>199188.65</v>
      </c>
      <c r="E199" s="19">
        <v>0.653595382</v>
      </c>
      <c r="F199" s="20">
        <v>175607.01</v>
      </c>
      <c r="G199" s="20">
        <f t="shared" si="9"/>
        <v>317198.12764772715</v>
      </c>
      <c r="H199" s="20">
        <v>0</v>
      </c>
      <c r="I199" s="20">
        <v>0</v>
      </c>
      <c r="J199" s="20">
        <v>0</v>
      </c>
      <c r="K199" s="20">
        <v>25622.581072770459</v>
      </c>
      <c r="L199" s="20">
        <f t="shared" si="8"/>
        <v>342820.70872049761</v>
      </c>
    </row>
    <row r="200" spans="1:12">
      <c r="A200" s="23" t="s">
        <v>910</v>
      </c>
      <c r="B200" s="19" t="s">
        <v>2350</v>
      </c>
      <c r="C200" s="19">
        <f>VLOOKUP(A200,'Distribution Detail'!$A$2:$F$558,5,FALSE)</f>
        <v>1</v>
      </c>
      <c r="D200" s="25">
        <v>176797.47</v>
      </c>
      <c r="E200" s="19">
        <v>0.63052424900000004</v>
      </c>
      <c r="F200" s="20">
        <v>154146.29</v>
      </c>
      <c r="G200" s="20">
        <f t="shared" si="9"/>
        <v>288621.72950372047</v>
      </c>
      <c r="H200" s="20">
        <v>0</v>
      </c>
      <c r="I200" s="20">
        <v>0</v>
      </c>
      <c r="J200" s="20">
        <v>0</v>
      </c>
      <c r="K200" s="20">
        <v>24611.591727459021</v>
      </c>
      <c r="L200" s="20">
        <f t="shared" si="8"/>
        <v>313233.32123117952</v>
      </c>
    </row>
    <row r="201" spans="1:12">
      <c r="A201" s="23" t="s">
        <v>912</v>
      </c>
      <c r="B201" s="19" t="s">
        <v>2349</v>
      </c>
      <c r="C201" s="19">
        <f>VLOOKUP(A201,'Distribution Detail'!$A$2:$F$558,5,FALSE)</f>
        <v>1</v>
      </c>
      <c r="D201" s="25">
        <v>337115.16</v>
      </c>
      <c r="E201" s="19">
        <v>0.45142203400000003</v>
      </c>
      <c r="F201" s="20">
        <v>224727.67999999999</v>
      </c>
      <c r="G201" s="20">
        <f t="shared" si="9"/>
        <v>587721.47085664456</v>
      </c>
      <c r="H201" s="20">
        <v>0</v>
      </c>
      <c r="I201" s="20">
        <v>0</v>
      </c>
      <c r="J201" s="20">
        <v>0</v>
      </c>
      <c r="K201" s="20">
        <v>122114.37872278469</v>
      </c>
      <c r="L201" s="20">
        <f t="shared" si="8"/>
        <v>709835.84957942925</v>
      </c>
    </row>
    <row r="202" spans="1:12">
      <c r="A202" s="23" t="s">
        <v>914</v>
      </c>
      <c r="B202" s="19" t="s">
        <v>2348</v>
      </c>
      <c r="C202" s="19" t="e">
        <f>VLOOKUP(A202,'Distribution Detail'!$A$2:$F$558,5,FALSE)</f>
        <v>#N/A</v>
      </c>
      <c r="D202" s="25">
        <v>1453163.24</v>
      </c>
      <c r="E202" s="19">
        <v>0.47048378600000001</v>
      </c>
      <c r="F202" s="20">
        <v>1274338.06</v>
      </c>
      <c r="G202" s="20">
        <f t="shared" si="9"/>
        <v>3197700.1308504161</v>
      </c>
      <c r="H202" s="20">
        <v>0</v>
      </c>
      <c r="I202" s="20">
        <v>0</v>
      </c>
      <c r="J202" s="20">
        <v>0</v>
      </c>
      <c r="K202" s="20">
        <v>194302.12115878158</v>
      </c>
      <c r="L202" s="20">
        <f t="shared" si="8"/>
        <v>3392002.2520091976</v>
      </c>
    </row>
    <row r="203" spans="1:12">
      <c r="A203" s="23" t="s">
        <v>916</v>
      </c>
      <c r="B203" s="19" t="s">
        <v>2347</v>
      </c>
      <c r="C203" s="19">
        <f>VLOOKUP(A203,'Distribution Detail'!$A$2:$F$558,5,FALSE)</f>
        <v>1</v>
      </c>
      <c r="D203" s="25">
        <v>306241.07</v>
      </c>
      <c r="E203" s="19">
        <v>0.49294231300000002</v>
      </c>
      <c r="F203" s="20">
        <v>216761.05</v>
      </c>
      <c r="G203" s="20">
        <f t="shared" si="9"/>
        <v>519138.08322045766</v>
      </c>
      <c r="H203" s="20">
        <v>0</v>
      </c>
      <c r="I203" s="20">
        <v>0</v>
      </c>
      <c r="J203" s="20">
        <v>0</v>
      </c>
      <c r="K203" s="20">
        <v>97224.326503293327</v>
      </c>
      <c r="L203" s="20">
        <f t="shared" si="8"/>
        <v>616362.40972375101</v>
      </c>
    </row>
    <row r="204" spans="1:12">
      <c r="A204" s="23" t="s">
        <v>918</v>
      </c>
      <c r="B204" s="19" t="s">
        <v>2346</v>
      </c>
      <c r="C204" s="19" t="e">
        <f>VLOOKUP(A204,'Distribution Detail'!$A$2:$F$558,5,FALSE)</f>
        <v>#N/A</v>
      </c>
      <c r="D204" s="25">
        <v>1094612.48</v>
      </c>
      <c r="E204" s="19">
        <v>0.22882613299999999</v>
      </c>
      <c r="F204" s="20">
        <v>1094612.48</v>
      </c>
      <c r="G204" s="20">
        <f t="shared" si="9"/>
        <v>5169138.0211976096</v>
      </c>
      <c r="H204" s="20">
        <v>0</v>
      </c>
      <c r="I204" s="20">
        <v>0</v>
      </c>
      <c r="J204" s="20">
        <v>0</v>
      </c>
      <c r="K204" s="20">
        <v>0</v>
      </c>
      <c r="L204" s="20">
        <f t="shared" si="8"/>
        <v>5169138.0211976096</v>
      </c>
    </row>
    <row r="205" spans="1:12">
      <c r="A205" s="23" t="s">
        <v>920</v>
      </c>
      <c r="B205" s="19" t="s">
        <v>2345</v>
      </c>
      <c r="C205" s="19">
        <f>VLOOKUP(A205,'Distribution Detail'!$A$2:$F$558,5,FALSE)</f>
        <v>1</v>
      </c>
      <c r="D205" s="25">
        <v>1893556.15</v>
      </c>
      <c r="E205" s="19">
        <v>0.46481931399999998</v>
      </c>
      <c r="F205" s="20">
        <v>1893556.15</v>
      </c>
      <c r="G205" s="20">
        <f t="shared" si="9"/>
        <v>4809409.5808635065</v>
      </c>
      <c r="H205" s="20">
        <v>0</v>
      </c>
      <c r="I205" s="20">
        <v>0</v>
      </c>
      <c r="J205" s="20">
        <v>0</v>
      </c>
      <c r="K205" s="20">
        <v>0</v>
      </c>
      <c r="L205" s="20">
        <f t="shared" si="8"/>
        <v>4809409.5808635065</v>
      </c>
    </row>
    <row r="206" spans="1:12">
      <c r="A206" s="23" t="s">
        <v>922</v>
      </c>
      <c r="B206" s="19" t="s">
        <v>2344</v>
      </c>
      <c r="C206" s="19" t="e">
        <f>VLOOKUP(A206,'Distribution Detail'!$A$2:$F$558,5,FALSE)</f>
        <v>#N/A</v>
      </c>
      <c r="D206" s="25">
        <v>488776.35</v>
      </c>
      <c r="E206" s="19">
        <v>0.51093029400000001</v>
      </c>
      <c r="F206" s="20">
        <v>404819.84</v>
      </c>
      <c r="G206" s="20">
        <f t="shared" si="9"/>
        <v>935401.10166921292</v>
      </c>
      <c r="H206" s="20">
        <v>0</v>
      </c>
      <c r="I206" s="20">
        <v>0</v>
      </c>
      <c r="J206" s="20">
        <v>0</v>
      </c>
      <c r="K206" s="20">
        <v>91222.768393625869</v>
      </c>
      <c r="L206" s="20">
        <f t="shared" si="8"/>
        <v>1026623.8700628388</v>
      </c>
    </row>
    <row r="207" spans="1:12">
      <c r="A207" s="23" t="s">
        <v>924</v>
      </c>
      <c r="B207" s="19" t="s">
        <v>2343</v>
      </c>
      <c r="C207" s="19" t="e">
        <f>VLOOKUP(A207,'Distribution Detail'!$A$2:$F$558,5,FALSE)</f>
        <v>#N/A</v>
      </c>
      <c r="D207" s="25">
        <v>454814.36</v>
      </c>
      <c r="E207" s="19">
        <v>0.697932255</v>
      </c>
      <c r="F207" s="20">
        <v>410226.44</v>
      </c>
      <c r="G207" s="20">
        <f t="shared" si="9"/>
        <v>693917.94739577582</v>
      </c>
      <c r="H207" s="20">
        <v>0</v>
      </c>
      <c r="I207" s="20">
        <v>0</v>
      </c>
      <c r="J207" s="20">
        <v>1013.7165805034194</v>
      </c>
      <c r="K207" s="20">
        <v>47433.193603275286</v>
      </c>
      <c r="L207" s="20">
        <f t="shared" si="8"/>
        <v>742364.85757955443</v>
      </c>
    </row>
    <row r="208" spans="1:12">
      <c r="A208" s="23" t="s">
        <v>926</v>
      </c>
      <c r="B208" s="19" t="s">
        <v>2342</v>
      </c>
      <c r="C208" s="19" t="e">
        <f>VLOOKUP(A208,'Distribution Detail'!$A$2:$F$558,5,FALSE)</f>
        <v>#N/A</v>
      </c>
      <c r="D208" s="25">
        <v>345963.75</v>
      </c>
      <c r="E208" s="19">
        <v>0.53306274300000001</v>
      </c>
      <c r="F208" s="20">
        <v>256768.24</v>
      </c>
      <c r="G208" s="20">
        <f t="shared" si="9"/>
        <v>568670.52177840273</v>
      </c>
      <c r="H208" s="20">
        <v>0</v>
      </c>
      <c r="I208" s="20">
        <v>0</v>
      </c>
      <c r="J208" s="20">
        <v>0</v>
      </c>
      <c r="K208" s="20">
        <v>96915.192764460313</v>
      </c>
      <c r="L208" s="20">
        <f t="shared" si="8"/>
        <v>665585.71454286308</v>
      </c>
    </row>
    <row r="209" spans="1:12">
      <c r="A209" s="23" t="s">
        <v>928</v>
      </c>
      <c r="B209" s="19" t="s">
        <v>2341</v>
      </c>
      <c r="C209" s="19" t="e">
        <f>VLOOKUP(A209,'Distribution Detail'!$A$2:$F$558,5,FALSE)</f>
        <v>#N/A</v>
      </c>
      <c r="D209" s="25">
        <v>380423.84</v>
      </c>
      <c r="E209" s="19">
        <v>0.64164650499999998</v>
      </c>
      <c r="F209" s="20">
        <v>288363.09000000003</v>
      </c>
      <c r="G209" s="20">
        <f t="shared" si="9"/>
        <v>530568.6430605998</v>
      </c>
      <c r="H209" s="20">
        <v>0</v>
      </c>
      <c r="I209" s="20">
        <v>0</v>
      </c>
      <c r="J209" s="20">
        <v>0</v>
      </c>
      <c r="K209" s="20">
        <v>100028.41322719933</v>
      </c>
      <c r="L209" s="20">
        <f t="shared" si="8"/>
        <v>630597.05628779915</v>
      </c>
    </row>
    <row r="210" spans="1:12">
      <c r="A210" s="23" t="s">
        <v>930</v>
      </c>
      <c r="B210" s="19" t="s">
        <v>2340</v>
      </c>
      <c r="C210" s="19">
        <f>VLOOKUP(A210,'Distribution Detail'!$A$2:$F$558,5,FALSE)</f>
        <v>1</v>
      </c>
      <c r="D210" s="25">
        <v>541807.67000000004</v>
      </c>
      <c r="E210" s="19">
        <v>0.281417798</v>
      </c>
      <c r="F210" s="20">
        <v>400760.51</v>
      </c>
      <c r="G210" s="20">
        <f t="shared" si="9"/>
        <v>1681245.3719448217</v>
      </c>
      <c r="H210" s="20">
        <v>0</v>
      </c>
      <c r="I210" s="20">
        <v>1013.7165805034194</v>
      </c>
      <c r="J210" s="20">
        <v>0</v>
      </c>
      <c r="K210" s="20">
        <v>152240.77683827604</v>
      </c>
      <c r="L210" s="20">
        <f t="shared" si="8"/>
        <v>1834499.8653636011</v>
      </c>
    </row>
    <row r="211" spans="1:12">
      <c r="A211" s="23" t="s">
        <v>932</v>
      </c>
      <c r="B211" s="19" t="s">
        <v>2339</v>
      </c>
      <c r="C211" s="19" t="e">
        <f>VLOOKUP(A211,'Distribution Detail'!$A$2:$F$558,5,FALSE)</f>
        <v>#N/A</v>
      </c>
      <c r="D211" s="25">
        <v>263657.34999999998</v>
      </c>
      <c r="E211" s="19">
        <v>0.63948496200000005</v>
      </c>
      <c r="F211" s="20">
        <v>263657.34999999998</v>
      </c>
      <c r="G211" s="20">
        <f t="shared" si="9"/>
        <v>486751.48851346457</v>
      </c>
      <c r="H211" s="20">
        <v>0</v>
      </c>
      <c r="I211" s="20">
        <v>0</v>
      </c>
      <c r="J211" s="20">
        <v>0</v>
      </c>
      <c r="K211" s="20">
        <v>0</v>
      </c>
      <c r="L211" s="20">
        <f t="shared" si="8"/>
        <v>486751.48851346457</v>
      </c>
    </row>
    <row r="212" spans="1:12">
      <c r="A212" s="23" t="s">
        <v>934</v>
      </c>
      <c r="B212" s="19" t="s">
        <v>2338</v>
      </c>
      <c r="C212" s="19" t="e">
        <f>VLOOKUP(A212,'Distribution Detail'!$A$2:$F$558,5,FALSE)</f>
        <v>#N/A</v>
      </c>
      <c r="D212" s="25">
        <v>742996.86</v>
      </c>
      <c r="E212" s="19">
        <v>0.531735705</v>
      </c>
      <c r="F212" s="20">
        <v>521267.62</v>
      </c>
      <c r="G212" s="20">
        <f t="shared" si="9"/>
        <v>1157344.5390994574</v>
      </c>
      <c r="H212" s="20">
        <v>0</v>
      </c>
      <c r="I212" s="20">
        <v>0</v>
      </c>
      <c r="J212" s="20">
        <v>0</v>
      </c>
      <c r="K212" s="20">
        <v>240919.43682050009</v>
      </c>
      <c r="L212" s="20">
        <f t="shared" si="8"/>
        <v>1398263.9759199575</v>
      </c>
    </row>
    <row r="213" spans="1:12">
      <c r="A213" s="23" t="s">
        <v>936</v>
      </c>
      <c r="B213" s="19" t="s">
        <v>2337</v>
      </c>
      <c r="C213" s="19" t="e">
        <f>VLOOKUP(A213,'Distribution Detail'!$A$2:$F$558,5,FALSE)</f>
        <v>#N/A</v>
      </c>
      <c r="D213" s="25">
        <v>1042517.91</v>
      </c>
      <c r="E213" s="19">
        <v>0.38531480499999998</v>
      </c>
      <c r="F213" s="20">
        <v>1042517.91</v>
      </c>
      <c r="G213" s="20">
        <f t="shared" si="9"/>
        <v>3194225.4834750015</v>
      </c>
      <c r="H213" s="20">
        <v>0</v>
      </c>
      <c r="I213" s="20">
        <v>0</v>
      </c>
      <c r="J213" s="20">
        <v>0</v>
      </c>
      <c r="K213" s="20">
        <v>0</v>
      </c>
      <c r="L213" s="20">
        <f t="shared" si="8"/>
        <v>3194225.4834750015</v>
      </c>
    </row>
    <row r="214" spans="1:12">
      <c r="A214" s="23" t="s">
        <v>938</v>
      </c>
      <c r="B214" s="19" t="s">
        <v>2336</v>
      </c>
      <c r="C214" s="19" t="e">
        <f>VLOOKUP(A214,'Distribution Detail'!$A$2:$F$558,5,FALSE)</f>
        <v>#N/A</v>
      </c>
      <c r="D214" s="25">
        <v>197667.42</v>
      </c>
      <c r="E214" s="19">
        <v>0.68124743399999999</v>
      </c>
      <c r="F214" s="20">
        <v>197667.42</v>
      </c>
      <c r="G214" s="20">
        <f t="shared" si="9"/>
        <v>342553.14256523061</v>
      </c>
      <c r="H214" s="20">
        <v>0</v>
      </c>
      <c r="I214" s="20">
        <v>0</v>
      </c>
      <c r="J214" s="20">
        <v>0</v>
      </c>
      <c r="K214" s="20">
        <v>0</v>
      </c>
      <c r="L214" s="20">
        <f t="shared" si="8"/>
        <v>342553.14256523061</v>
      </c>
    </row>
    <row r="215" spans="1:12">
      <c r="A215" s="23" t="s">
        <v>940</v>
      </c>
      <c r="B215" s="19" t="s">
        <v>2335</v>
      </c>
      <c r="C215" s="19" t="e">
        <f>VLOOKUP(A215,'Distribution Detail'!$A$2:$F$558,5,FALSE)</f>
        <v>#N/A</v>
      </c>
      <c r="D215" s="25">
        <v>185921.81</v>
      </c>
      <c r="E215" s="19">
        <v>0.263595943</v>
      </c>
      <c r="F215" s="20">
        <v>185921.81</v>
      </c>
      <c r="G215" s="20">
        <f t="shared" si="9"/>
        <v>832701.5224527946</v>
      </c>
      <c r="H215" s="20">
        <v>0</v>
      </c>
      <c r="I215" s="20">
        <v>0</v>
      </c>
      <c r="J215" s="20">
        <v>0</v>
      </c>
      <c r="K215" s="20">
        <v>0</v>
      </c>
      <c r="L215" s="20">
        <f t="shared" si="8"/>
        <v>832701.5224527946</v>
      </c>
    </row>
    <row r="216" spans="1:12">
      <c r="A216" s="23" t="s">
        <v>942</v>
      </c>
      <c r="B216" s="19" t="s">
        <v>2334</v>
      </c>
      <c r="C216" s="19" t="e">
        <f>VLOOKUP(A216,'Distribution Detail'!$A$2:$F$558,5,FALSE)</f>
        <v>#N/A</v>
      </c>
      <c r="D216" s="25">
        <v>458961.24</v>
      </c>
      <c r="E216" s="19">
        <v>0.40521684499999999</v>
      </c>
      <c r="F216" s="20">
        <v>458961.24</v>
      </c>
      <c r="G216" s="20">
        <f t="shared" si="9"/>
        <v>1337168.8814235288</v>
      </c>
      <c r="H216" s="20">
        <v>0</v>
      </c>
      <c r="I216" s="20">
        <v>0</v>
      </c>
      <c r="J216" s="20">
        <v>0</v>
      </c>
      <c r="K216" s="20">
        <v>0</v>
      </c>
      <c r="L216" s="20">
        <f t="shared" si="8"/>
        <v>1337168.8814235288</v>
      </c>
    </row>
    <row r="217" spans="1:12">
      <c r="A217" s="23" t="s">
        <v>944</v>
      </c>
      <c r="B217" s="19" t="s">
        <v>2333</v>
      </c>
      <c r="C217" s="19" t="e">
        <f>VLOOKUP(A217,'Distribution Detail'!$A$2:$F$558,5,FALSE)</f>
        <v>#N/A</v>
      </c>
      <c r="D217" s="25">
        <v>548142.88</v>
      </c>
      <c r="E217" s="19">
        <v>0.41548449700000001</v>
      </c>
      <c r="F217" s="20">
        <v>351656.75</v>
      </c>
      <c r="G217" s="20">
        <f t="shared" si="9"/>
        <v>999221.74423484178</v>
      </c>
      <c r="H217" s="20">
        <v>0</v>
      </c>
      <c r="I217" s="20">
        <v>0</v>
      </c>
      <c r="J217" s="20">
        <v>0</v>
      </c>
      <c r="K217" s="20">
        <v>213491.58903282028</v>
      </c>
      <c r="L217" s="20">
        <f t="shared" si="8"/>
        <v>1212713.333267662</v>
      </c>
    </row>
    <row r="218" spans="1:12">
      <c r="A218" s="23" t="s">
        <v>946</v>
      </c>
      <c r="B218" s="19" t="s">
        <v>2332</v>
      </c>
      <c r="C218" s="19">
        <f>VLOOKUP(A218,'Distribution Detail'!$A$2:$F$558,5,FALSE)</f>
        <v>1</v>
      </c>
      <c r="D218" s="25">
        <v>401825.08</v>
      </c>
      <c r="E218" s="19">
        <v>0.54324628500000005</v>
      </c>
      <c r="F218" s="20">
        <v>302436.71000000002</v>
      </c>
      <c r="G218" s="20">
        <f t="shared" si="9"/>
        <v>657257.39577506261</v>
      </c>
      <c r="H218" s="20">
        <v>0</v>
      </c>
      <c r="I218" s="20">
        <v>0</v>
      </c>
      <c r="J218" s="20">
        <v>0</v>
      </c>
      <c r="K218" s="20">
        <v>107990.2232421285</v>
      </c>
      <c r="L218" s="20">
        <f t="shared" si="8"/>
        <v>765247.61901719111</v>
      </c>
    </row>
    <row r="219" spans="1:12">
      <c r="A219" s="23" t="s">
        <v>948</v>
      </c>
      <c r="B219" s="19" t="s">
        <v>2331</v>
      </c>
      <c r="C219" s="19" t="e">
        <f>VLOOKUP(A219,'Distribution Detail'!$A$2:$F$558,5,FALSE)</f>
        <v>#N/A</v>
      </c>
      <c r="D219" s="25">
        <v>510618.03</v>
      </c>
      <c r="E219" s="19">
        <v>0.62272455800000004</v>
      </c>
      <c r="F219" s="20">
        <v>468855.87</v>
      </c>
      <c r="G219" s="20">
        <f t="shared" si="9"/>
        <v>888875.84878724394</v>
      </c>
      <c r="H219" s="20">
        <v>0</v>
      </c>
      <c r="I219" s="20">
        <v>0</v>
      </c>
      <c r="J219" s="20">
        <v>0</v>
      </c>
      <c r="K219" s="20">
        <v>45376.586631549442</v>
      </c>
      <c r="L219" s="20">
        <f t="shared" si="8"/>
        <v>934252.43541879335</v>
      </c>
    </row>
    <row r="220" spans="1:12">
      <c r="A220" s="23" t="s">
        <v>950</v>
      </c>
      <c r="B220" s="19" t="s">
        <v>2330</v>
      </c>
      <c r="C220" s="19" t="e">
        <f>VLOOKUP(A220,'Distribution Detail'!$A$2:$F$558,5,FALSE)</f>
        <v>#N/A</v>
      </c>
      <c r="D220" s="25">
        <v>247350.57</v>
      </c>
      <c r="E220" s="19">
        <v>0.416637284</v>
      </c>
      <c r="F220" s="20">
        <v>172786.54</v>
      </c>
      <c r="G220" s="20">
        <f t="shared" si="9"/>
        <v>489609.14200960251</v>
      </c>
      <c r="H220" s="20">
        <v>0</v>
      </c>
      <c r="I220" s="20">
        <v>0</v>
      </c>
      <c r="J220" s="20">
        <v>0</v>
      </c>
      <c r="K220" s="20">
        <v>81017.389112355566</v>
      </c>
      <c r="L220" s="20">
        <f t="shared" si="8"/>
        <v>570626.53112195805</v>
      </c>
    </row>
    <row r="221" spans="1:12">
      <c r="A221" s="23" t="s">
        <v>952</v>
      </c>
      <c r="B221" s="19" t="s">
        <v>2329</v>
      </c>
      <c r="C221" s="19" t="e">
        <f>VLOOKUP(A221,'Distribution Detail'!$A$2:$F$558,5,FALSE)</f>
        <v>#N/A</v>
      </c>
      <c r="D221" s="25">
        <v>113904.07</v>
      </c>
      <c r="E221" s="19">
        <v>0.78400315899999995</v>
      </c>
      <c r="F221" s="20">
        <v>105006.11</v>
      </c>
      <c r="G221" s="20">
        <f t="shared" si="9"/>
        <v>158122.80115007638</v>
      </c>
      <c r="H221" s="20">
        <v>0</v>
      </c>
      <c r="I221" s="20">
        <v>0</v>
      </c>
      <c r="J221" s="20">
        <v>0</v>
      </c>
      <c r="K221" s="20">
        <v>9668.0596210555577</v>
      </c>
      <c r="L221" s="20">
        <f t="shared" si="8"/>
        <v>167790.86077113193</v>
      </c>
    </row>
    <row r="222" spans="1:12">
      <c r="A222" s="23" t="s">
        <v>954</v>
      </c>
      <c r="B222" s="19" t="s">
        <v>2328</v>
      </c>
      <c r="C222" s="19" t="e">
        <f>VLOOKUP(A222,'Distribution Detail'!$A$2:$F$558,5,FALSE)</f>
        <v>#N/A</v>
      </c>
      <c r="D222" s="25">
        <v>44728.51</v>
      </c>
      <c r="E222" s="19">
        <v>0.22183355799999999</v>
      </c>
      <c r="F222" s="20">
        <v>33080.53</v>
      </c>
      <c r="G222" s="20">
        <f t="shared" si="9"/>
        <v>156217.68297796877</v>
      </c>
      <c r="H222" s="20">
        <v>0</v>
      </c>
      <c r="I222" s="20">
        <v>0</v>
      </c>
      <c r="J222" s="20">
        <v>0</v>
      </c>
      <c r="K222" s="20">
        <v>12656.088036455854</v>
      </c>
      <c r="L222" s="20">
        <f t="shared" si="8"/>
        <v>168873.77101442462</v>
      </c>
    </row>
    <row r="223" spans="1:12">
      <c r="A223" s="23" t="s">
        <v>956</v>
      </c>
      <c r="B223" s="19" t="s">
        <v>2327</v>
      </c>
      <c r="C223" s="19">
        <f>VLOOKUP(A223,'Distribution Detail'!$A$2:$F$558,5,FALSE)</f>
        <v>1</v>
      </c>
      <c r="D223" s="25">
        <v>378292.88</v>
      </c>
      <c r="E223" s="19">
        <v>0.55827060100000003</v>
      </c>
      <c r="F223" s="20">
        <v>283864.5</v>
      </c>
      <c r="G223" s="20">
        <f t="shared" si="9"/>
        <v>600294.08879416424</v>
      </c>
      <c r="H223" s="20">
        <v>0</v>
      </c>
      <c r="I223" s="20">
        <v>0</v>
      </c>
      <c r="J223" s="20">
        <v>0</v>
      </c>
      <c r="K223" s="20">
        <v>102600.95659675819</v>
      </c>
      <c r="L223" s="20">
        <f t="shared" si="8"/>
        <v>702895.04539092246</v>
      </c>
    </row>
    <row r="224" spans="1:12">
      <c r="A224" s="23" t="s">
        <v>958</v>
      </c>
      <c r="B224" s="19" t="s">
        <v>2326</v>
      </c>
      <c r="C224" s="19">
        <f>VLOOKUP(A224,'Distribution Detail'!$A$2:$F$558,5,FALSE)</f>
        <v>1</v>
      </c>
      <c r="D224" s="25">
        <v>555969.75</v>
      </c>
      <c r="E224" s="19">
        <v>0.49097756100000001</v>
      </c>
      <c r="F224" s="20">
        <v>507541.12</v>
      </c>
      <c r="G224" s="20">
        <f t="shared" si="9"/>
        <v>1220414.4223276749</v>
      </c>
      <c r="H224" s="20">
        <v>0</v>
      </c>
      <c r="I224" s="20">
        <v>0</v>
      </c>
      <c r="J224" s="20">
        <v>0</v>
      </c>
      <c r="K224" s="20">
        <v>52620.025512144341</v>
      </c>
      <c r="L224" s="20">
        <f t="shared" si="8"/>
        <v>1273034.4478398194</v>
      </c>
    </row>
    <row r="225" spans="1:12">
      <c r="A225" s="23" t="s">
        <v>960</v>
      </c>
      <c r="B225" s="19" t="s">
        <v>2325</v>
      </c>
      <c r="C225" s="19">
        <f>VLOOKUP(A225,'Distribution Detail'!$A$2:$F$558,5,FALSE)</f>
        <v>1</v>
      </c>
      <c r="D225" s="25">
        <v>663023.97</v>
      </c>
      <c r="E225" s="19">
        <v>0.48345336799999999</v>
      </c>
      <c r="F225" s="20">
        <v>609819.23</v>
      </c>
      <c r="G225" s="20">
        <f t="shared" si="9"/>
        <v>1489169.9599244655</v>
      </c>
      <c r="H225" s="20">
        <v>0</v>
      </c>
      <c r="I225" s="20">
        <v>0</v>
      </c>
      <c r="J225" s="20">
        <v>506.86372299113594</v>
      </c>
      <c r="K225" s="20">
        <v>57302.63400938343</v>
      </c>
      <c r="L225" s="20">
        <f t="shared" si="8"/>
        <v>1546979.4576568401</v>
      </c>
    </row>
    <row r="226" spans="1:12">
      <c r="A226" s="23" t="s">
        <v>962</v>
      </c>
      <c r="B226" s="19" t="s">
        <v>2046</v>
      </c>
      <c r="C226" s="19">
        <f>VLOOKUP(A226,'Distribution Detail'!$A$2:$F$558,5,FALSE)</f>
        <v>1</v>
      </c>
      <c r="D226" s="25">
        <v>176671.64</v>
      </c>
      <c r="E226" s="19">
        <v>0.32317652200000002</v>
      </c>
      <c r="F226" s="20">
        <v>112123.57</v>
      </c>
      <c r="G226" s="20">
        <f t="shared" si="9"/>
        <v>409595.19772237475</v>
      </c>
      <c r="H226" s="20">
        <v>0</v>
      </c>
      <c r="I226" s="20">
        <v>0</v>
      </c>
      <c r="J226" s="20">
        <v>0</v>
      </c>
      <c r="K226" s="20">
        <v>70134.568955588446</v>
      </c>
      <c r="L226" s="20">
        <f t="shared" si="8"/>
        <v>479729.7666779632</v>
      </c>
    </row>
    <row r="227" spans="1:12">
      <c r="A227" s="23" t="s">
        <v>964</v>
      </c>
      <c r="B227" s="19" t="s">
        <v>2324</v>
      </c>
      <c r="C227" s="19">
        <f>VLOOKUP(A227,'Distribution Detail'!$A$2:$F$558,5,FALSE)</f>
        <v>1</v>
      </c>
      <c r="D227" s="25">
        <v>479205.59</v>
      </c>
      <c r="E227" s="19">
        <v>0.38188250299999998</v>
      </c>
      <c r="F227" s="20">
        <v>479205.59</v>
      </c>
      <c r="G227" s="20">
        <f t="shared" si="9"/>
        <v>1481459.7508952355</v>
      </c>
      <c r="H227" s="20">
        <v>0</v>
      </c>
      <c r="I227" s="20">
        <v>0</v>
      </c>
      <c r="J227" s="20">
        <v>0</v>
      </c>
      <c r="K227" s="20">
        <v>0</v>
      </c>
      <c r="L227" s="20">
        <f t="shared" si="8"/>
        <v>1481459.7508952355</v>
      </c>
    </row>
    <row r="228" spans="1:12">
      <c r="A228" s="23" t="s">
        <v>966</v>
      </c>
      <c r="B228" s="19" t="s">
        <v>2323</v>
      </c>
      <c r="C228" s="19">
        <f>VLOOKUP(A228,'Distribution Detail'!$A$2:$F$558,5,FALSE)</f>
        <v>1</v>
      </c>
      <c r="D228" s="25">
        <v>404152.32000000001</v>
      </c>
      <c r="E228" s="19">
        <v>0.48842769600000002</v>
      </c>
      <c r="F228" s="20">
        <v>279799.73</v>
      </c>
      <c r="G228" s="20">
        <f t="shared" si="9"/>
        <v>676308.35153333214</v>
      </c>
      <c r="H228" s="20">
        <v>0</v>
      </c>
      <c r="I228" s="20">
        <v>0</v>
      </c>
      <c r="J228" s="20">
        <v>0</v>
      </c>
      <c r="K228" s="20">
        <v>135115.04369009048</v>
      </c>
      <c r="L228" s="20">
        <f t="shared" si="8"/>
        <v>811423.39522342267</v>
      </c>
    </row>
    <row r="229" spans="1:12">
      <c r="A229" s="23" t="s">
        <v>968</v>
      </c>
      <c r="B229" s="19" t="s">
        <v>2322</v>
      </c>
      <c r="C229" s="19">
        <f>VLOOKUP(A229,'Distribution Detail'!$A$2:$F$558,5,FALSE)</f>
        <v>1</v>
      </c>
      <c r="D229" s="25">
        <v>336427.58</v>
      </c>
      <c r="E229" s="19">
        <v>0.36151550700000001</v>
      </c>
      <c r="F229" s="20">
        <v>207680.43</v>
      </c>
      <c r="G229" s="20">
        <f t="shared" si="9"/>
        <v>678213.42966210726</v>
      </c>
      <c r="H229" s="20">
        <v>0</v>
      </c>
      <c r="I229" s="20">
        <v>0</v>
      </c>
      <c r="J229" s="20">
        <v>0</v>
      </c>
      <c r="K229" s="20">
        <v>139889.94356470284</v>
      </c>
      <c r="L229" s="20">
        <f t="shared" si="8"/>
        <v>818103.37322681013</v>
      </c>
    </row>
    <row r="230" spans="1:12">
      <c r="A230" s="23" t="s">
        <v>970</v>
      </c>
      <c r="B230" s="19" t="s">
        <v>2321</v>
      </c>
      <c r="C230" s="19">
        <f>VLOOKUP(A230,'Distribution Detail'!$A$2:$F$558,5,FALSE)</f>
        <v>1</v>
      </c>
      <c r="D230" s="25">
        <v>354186.92</v>
      </c>
      <c r="E230" s="19">
        <v>0.45023386599999998</v>
      </c>
      <c r="F230" s="20">
        <v>236850.55</v>
      </c>
      <c r="G230" s="20">
        <f t="shared" si="9"/>
        <v>621060.60258571466</v>
      </c>
      <c r="H230" s="20">
        <v>0</v>
      </c>
      <c r="I230" s="20">
        <v>0</v>
      </c>
      <c r="J230" s="20">
        <v>0</v>
      </c>
      <c r="K230" s="20">
        <v>127491.58468662872</v>
      </c>
      <c r="L230" s="20">
        <f t="shared" si="8"/>
        <v>748552.18727234332</v>
      </c>
    </row>
    <row r="231" spans="1:12">
      <c r="A231" s="23" t="s">
        <v>972</v>
      </c>
      <c r="B231" s="19" t="s">
        <v>2147</v>
      </c>
      <c r="C231" s="19">
        <f>VLOOKUP(A231,'Distribution Detail'!$A$2:$F$558,5,FALSE)</f>
        <v>1</v>
      </c>
      <c r="D231" s="25">
        <v>591111.16</v>
      </c>
      <c r="E231" s="19">
        <v>0.477787144</v>
      </c>
      <c r="F231" s="20">
        <v>449877.19</v>
      </c>
      <c r="G231" s="20">
        <f t="shared" si="9"/>
        <v>1111622.3133894438</v>
      </c>
      <c r="H231" s="20">
        <v>0</v>
      </c>
      <c r="I231" s="20">
        <v>0</v>
      </c>
      <c r="J231" s="20">
        <v>0</v>
      </c>
      <c r="K231" s="20">
        <v>153457.47142922337</v>
      </c>
      <c r="L231" s="20">
        <f t="shared" si="8"/>
        <v>1265079.7848186672</v>
      </c>
    </row>
    <row r="232" spans="1:12">
      <c r="A232" s="23" t="s">
        <v>974</v>
      </c>
      <c r="B232" s="19" t="s">
        <v>2320</v>
      </c>
      <c r="C232" s="19">
        <f>VLOOKUP(A232,'Distribution Detail'!$A$2:$F$558,5,FALSE)</f>
        <v>1</v>
      </c>
      <c r="D232" s="25">
        <v>685480.34</v>
      </c>
      <c r="E232" s="19">
        <v>0.46745173400000001</v>
      </c>
      <c r="F232" s="20">
        <v>463906.59</v>
      </c>
      <c r="G232" s="20">
        <f t="shared" si="9"/>
        <v>1171632.7655245648</v>
      </c>
      <c r="H232" s="20">
        <v>0</v>
      </c>
      <c r="I232" s="20">
        <v>0</v>
      </c>
      <c r="J232" s="20">
        <v>0</v>
      </c>
      <c r="K232" s="20">
        <v>240750.4894898223</v>
      </c>
      <c r="L232" s="20">
        <f t="shared" si="8"/>
        <v>1412383.255014387</v>
      </c>
    </row>
    <row r="233" spans="1:12">
      <c r="A233" s="23" t="s">
        <v>976</v>
      </c>
      <c r="B233" s="19" t="s">
        <v>2319</v>
      </c>
      <c r="C233" s="19">
        <f>VLOOKUP(A233,'Distribution Detail'!$A$2:$F$558,5,FALSE)</f>
        <v>1</v>
      </c>
      <c r="D233" s="25">
        <v>772751.8</v>
      </c>
      <c r="E233" s="19">
        <v>0.48917685399999999</v>
      </c>
      <c r="F233" s="20">
        <v>547827.74</v>
      </c>
      <c r="G233" s="20">
        <f t="shared" si="9"/>
        <v>1322135.1810091431</v>
      </c>
      <c r="H233" s="20">
        <v>0</v>
      </c>
      <c r="I233" s="20">
        <v>0</v>
      </c>
      <c r="J233" s="20">
        <v>0</v>
      </c>
      <c r="K233" s="20">
        <v>244390.76173526043</v>
      </c>
      <c r="L233" s="20">
        <f t="shared" si="8"/>
        <v>1566525.9427444036</v>
      </c>
    </row>
    <row r="234" spans="1:12">
      <c r="A234" s="23" t="s">
        <v>978</v>
      </c>
      <c r="B234" s="19" t="s">
        <v>2318</v>
      </c>
      <c r="C234" s="19">
        <f>VLOOKUP(A234,'Distribution Detail'!$A$2:$F$558,5,FALSE)</f>
        <v>1</v>
      </c>
      <c r="D234" s="25">
        <v>1087384.49</v>
      </c>
      <c r="E234" s="19">
        <v>0.53870786100000001</v>
      </c>
      <c r="F234" s="20">
        <v>755860.32</v>
      </c>
      <c r="G234" s="20">
        <f t="shared" si="9"/>
        <v>1656479.1575507924</v>
      </c>
      <c r="H234" s="20">
        <v>0</v>
      </c>
      <c r="I234" s="20">
        <v>0</v>
      </c>
      <c r="J234" s="20">
        <v>0</v>
      </c>
      <c r="K234" s="20">
        <v>360216.88582337508</v>
      </c>
      <c r="L234" s="20">
        <f t="shared" si="8"/>
        <v>2016696.0433741675</v>
      </c>
    </row>
    <row r="235" spans="1:12">
      <c r="A235" s="23" t="s">
        <v>980</v>
      </c>
      <c r="B235" s="19" t="s">
        <v>2317</v>
      </c>
      <c r="C235" s="19">
        <f>VLOOKUP(A235,'Distribution Detail'!$A$2:$F$558,5,FALSE)</f>
        <v>1</v>
      </c>
      <c r="D235" s="25">
        <v>870484.03</v>
      </c>
      <c r="E235" s="19">
        <v>0.48638614699999999</v>
      </c>
      <c r="F235" s="20">
        <v>594934.36</v>
      </c>
      <c r="G235" s="20">
        <f t="shared" si="9"/>
        <v>1444061.1914616216</v>
      </c>
      <c r="H235" s="20">
        <v>0</v>
      </c>
      <c r="I235" s="20">
        <v>0</v>
      </c>
      <c r="J235" s="20">
        <v>0</v>
      </c>
      <c r="K235" s="20">
        <v>299397.91122034536</v>
      </c>
      <c r="L235" s="20">
        <f t="shared" si="8"/>
        <v>1743459.102681967</v>
      </c>
    </row>
    <row r="236" spans="1:12">
      <c r="A236" s="23" t="s">
        <v>982</v>
      </c>
      <c r="B236" s="19" t="s">
        <v>2316</v>
      </c>
      <c r="C236" s="19">
        <f>VLOOKUP(A236,'Distribution Detail'!$A$2:$F$558,5,FALSE)</f>
        <v>1</v>
      </c>
      <c r="D236" s="25">
        <v>1455522.29</v>
      </c>
      <c r="E236" s="19">
        <v>0.50211268899999995</v>
      </c>
      <c r="F236" s="20">
        <v>980404.32</v>
      </c>
      <c r="G236" s="20">
        <f t="shared" si="9"/>
        <v>2305163.6431796853</v>
      </c>
      <c r="H236" s="20">
        <v>0</v>
      </c>
      <c r="I236" s="20">
        <v>0</v>
      </c>
      <c r="J236" s="20">
        <v>0</v>
      </c>
      <c r="K236" s="20">
        <v>516238.4255486523</v>
      </c>
      <c r="L236" s="20">
        <f t="shared" si="8"/>
        <v>2821402.0687283375</v>
      </c>
    </row>
    <row r="237" spans="1:12">
      <c r="A237" s="23" t="s">
        <v>984</v>
      </c>
      <c r="B237" s="19" t="s">
        <v>2315</v>
      </c>
      <c r="C237" s="19">
        <f>VLOOKUP(A237,'Distribution Detail'!$A$2:$F$558,5,FALSE)</f>
        <v>1</v>
      </c>
      <c r="D237" s="25">
        <v>473255.07</v>
      </c>
      <c r="E237" s="19">
        <v>0.88861454900000003</v>
      </c>
      <c r="F237" s="20">
        <v>407894.97</v>
      </c>
      <c r="G237" s="20">
        <f t="shared" si="9"/>
        <v>541916.87137664831</v>
      </c>
      <c r="H237" s="20">
        <v>0</v>
      </c>
      <c r="I237" s="20">
        <v>0</v>
      </c>
      <c r="J237" s="20">
        <v>0</v>
      </c>
      <c r="K237" s="20">
        <v>71016.878434849496</v>
      </c>
      <c r="L237" s="20">
        <f t="shared" si="8"/>
        <v>612933.74981149775</v>
      </c>
    </row>
    <row r="238" spans="1:12">
      <c r="A238" s="23" t="s">
        <v>986</v>
      </c>
      <c r="B238" s="19" t="s">
        <v>2314</v>
      </c>
      <c r="C238" s="19">
        <f>VLOOKUP(A238,'Distribution Detail'!$A$2:$F$558,5,FALSE)</f>
        <v>1</v>
      </c>
      <c r="D238" s="25">
        <v>105700.6</v>
      </c>
      <c r="E238" s="19">
        <v>0.37623264000000001</v>
      </c>
      <c r="F238" s="20">
        <v>81084.58</v>
      </c>
      <c r="G238" s="20">
        <f t="shared" si="9"/>
        <v>254436.57640232451</v>
      </c>
      <c r="H238" s="20">
        <v>0</v>
      </c>
      <c r="I238" s="20">
        <v>0</v>
      </c>
      <c r="J238" s="20">
        <v>0</v>
      </c>
      <c r="K238" s="20">
        <v>26746.484474317269</v>
      </c>
      <c r="L238" s="20">
        <f t="shared" si="8"/>
        <v>281183.06087664177</v>
      </c>
    </row>
    <row r="239" spans="1:12">
      <c r="A239" s="23" t="s">
        <v>988</v>
      </c>
      <c r="B239" s="19" t="s">
        <v>2313</v>
      </c>
      <c r="C239" s="19">
        <f>VLOOKUP(A239,'Distribution Detail'!$A$2:$F$558,5,FALSE)</f>
        <v>1</v>
      </c>
      <c r="D239" s="25">
        <v>104118.77</v>
      </c>
      <c r="E239" s="19">
        <v>0.41708972900000002</v>
      </c>
      <c r="F239" s="20">
        <v>87555.18</v>
      </c>
      <c r="G239" s="20">
        <f t="shared" si="9"/>
        <v>247827.83996612945</v>
      </c>
      <c r="H239" s="20">
        <v>0</v>
      </c>
      <c r="I239" s="20">
        <v>0</v>
      </c>
      <c r="J239" s="20">
        <v>0</v>
      </c>
      <c r="K239" s="20">
        <v>17997.133686678706</v>
      </c>
      <c r="L239" s="20">
        <f t="shared" si="8"/>
        <v>265824.97365280817</v>
      </c>
    </row>
    <row r="240" spans="1:12">
      <c r="A240" s="23" t="s">
        <v>990</v>
      </c>
      <c r="B240" s="19" t="s">
        <v>2312</v>
      </c>
      <c r="C240" s="19">
        <f>VLOOKUP(A240,'Distribution Detail'!$A$2:$F$558,5,FALSE)</f>
        <v>1</v>
      </c>
      <c r="D240" s="25">
        <v>73620.34</v>
      </c>
      <c r="E240" s="19">
        <v>0.42513439800000002</v>
      </c>
      <c r="F240" s="20">
        <v>50423.41</v>
      </c>
      <c r="G240" s="20">
        <f t="shared" si="9"/>
        <v>140024.39622748937</v>
      </c>
      <c r="H240" s="20">
        <v>0</v>
      </c>
      <c r="I240" s="20">
        <v>0</v>
      </c>
      <c r="J240" s="20">
        <v>0</v>
      </c>
      <c r="K240" s="20">
        <v>25204.575235835218</v>
      </c>
      <c r="L240" s="20">
        <f t="shared" si="8"/>
        <v>165228.97146332459</v>
      </c>
    </row>
    <row r="241" spans="1:12">
      <c r="A241" s="23" t="s">
        <v>992</v>
      </c>
      <c r="B241" s="19" t="s">
        <v>2311</v>
      </c>
      <c r="C241" s="19">
        <f>VLOOKUP(A241,'Distribution Detail'!$A$2:$F$558,5,FALSE)</f>
        <v>1</v>
      </c>
      <c r="D241" s="25">
        <v>193450.59</v>
      </c>
      <c r="E241" s="19">
        <v>0.44490307699999998</v>
      </c>
      <c r="F241" s="20">
        <v>126715.22</v>
      </c>
      <c r="G241" s="20">
        <f t="shared" si="9"/>
        <v>336249.0873794459</v>
      </c>
      <c r="H241" s="20">
        <v>0</v>
      </c>
      <c r="I241" s="20">
        <v>0</v>
      </c>
      <c r="J241" s="20">
        <v>0</v>
      </c>
      <c r="K241" s="20">
        <v>72511.175144999812</v>
      </c>
      <c r="L241" s="20">
        <f t="shared" si="8"/>
        <v>408760.26252444572</v>
      </c>
    </row>
    <row r="242" spans="1:12">
      <c r="A242" s="23" t="s">
        <v>994</v>
      </c>
      <c r="B242" s="19" t="s">
        <v>995</v>
      </c>
      <c r="C242" s="19">
        <f>VLOOKUP(A242,'Distribution Detail'!$A$2:$F$558,5,FALSE)</f>
        <v>1</v>
      </c>
      <c r="D242" s="25">
        <v>227527.67</v>
      </c>
      <c r="E242" s="19">
        <v>0.138511365</v>
      </c>
      <c r="F242" s="20">
        <v>138978.57999999999</v>
      </c>
      <c r="G242" s="20">
        <f t="shared" si="9"/>
        <v>656304.83402679057</v>
      </c>
      <c r="H242" s="20">
        <v>0</v>
      </c>
      <c r="I242" s="20">
        <v>0</v>
      </c>
      <c r="J242" s="20">
        <v>0</v>
      </c>
      <c r="K242" s="20">
        <v>96212.826480475822</v>
      </c>
      <c r="L242" s="20">
        <f t="shared" si="8"/>
        <v>752517.66050726641</v>
      </c>
    </row>
    <row r="243" spans="1:12">
      <c r="A243" s="23" t="s">
        <v>996</v>
      </c>
      <c r="B243" s="19" t="s">
        <v>2310</v>
      </c>
      <c r="C243" s="19">
        <f>VLOOKUP(A243,'Distribution Detail'!$A$2:$F$558,5,FALSE)</f>
        <v>1</v>
      </c>
      <c r="D243" s="25">
        <v>184506.9</v>
      </c>
      <c r="E243" s="19">
        <v>0.47179964499999999</v>
      </c>
      <c r="F243" s="20">
        <v>149221.82</v>
      </c>
      <c r="G243" s="20">
        <f t="shared" si="9"/>
        <v>373398.41022867191</v>
      </c>
      <c r="H243" s="20">
        <v>0</v>
      </c>
      <c r="I243" s="20">
        <v>0</v>
      </c>
      <c r="J243" s="20">
        <v>0</v>
      </c>
      <c r="K243" s="20">
        <v>38338.929054942382</v>
      </c>
      <c r="L243" s="20">
        <f t="shared" si="8"/>
        <v>411737.3392836143</v>
      </c>
    </row>
    <row r="244" spans="1:12">
      <c r="A244" s="23" t="s">
        <v>998</v>
      </c>
      <c r="B244" s="19" t="s">
        <v>2309</v>
      </c>
      <c r="C244" s="19">
        <f>VLOOKUP(A244,'Distribution Detail'!$A$2:$F$558,5,FALSE)</f>
        <v>1</v>
      </c>
      <c r="D244" s="25">
        <v>768560.95</v>
      </c>
      <c r="E244" s="19">
        <v>0.42500400199999999</v>
      </c>
      <c r="F244" s="20">
        <v>504079.47</v>
      </c>
      <c r="G244" s="20">
        <f t="shared" si="9"/>
        <v>1400244.0379237386</v>
      </c>
      <c r="H244" s="20">
        <v>0</v>
      </c>
      <c r="I244" s="20">
        <v>0</v>
      </c>
      <c r="J244" s="20">
        <v>0</v>
      </c>
      <c r="K244" s="20">
        <v>287371.79278227966</v>
      </c>
      <c r="L244" s="20">
        <f t="shared" si="8"/>
        <v>1687615.8307060183</v>
      </c>
    </row>
    <row r="245" spans="1:12">
      <c r="A245" s="23" t="s">
        <v>1000</v>
      </c>
      <c r="B245" s="19" t="s">
        <v>2107</v>
      </c>
      <c r="C245" s="19">
        <f>VLOOKUP(A245,'Distribution Detail'!$A$2:$F$558,5,FALSE)</f>
        <v>1</v>
      </c>
      <c r="D245" s="25">
        <v>688072.44</v>
      </c>
      <c r="E245" s="19">
        <v>0.50407064099999999</v>
      </c>
      <c r="F245" s="20">
        <v>477472.27</v>
      </c>
      <c r="G245" s="20">
        <f t="shared" si="9"/>
        <v>1118290.1324897329</v>
      </c>
      <c r="H245" s="20">
        <v>0</v>
      </c>
      <c r="I245" s="20">
        <v>0</v>
      </c>
      <c r="J245" s="20">
        <v>0</v>
      </c>
      <c r="K245" s="20">
        <v>228827.16934718032</v>
      </c>
      <c r="L245" s="20">
        <f t="shared" si="8"/>
        <v>1347117.3018369132</v>
      </c>
    </row>
    <row r="246" spans="1:12">
      <c r="A246" s="23" t="s">
        <v>1002</v>
      </c>
      <c r="B246" s="19" t="s">
        <v>2308</v>
      </c>
      <c r="C246" s="19">
        <f>VLOOKUP(A246,'Distribution Detail'!$A$2:$F$558,5,FALSE)</f>
        <v>1</v>
      </c>
      <c r="D246" s="25">
        <v>247932.06</v>
      </c>
      <c r="E246" s="19">
        <v>0.50180895000000003</v>
      </c>
      <c r="F246" s="20">
        <v>176527.98</v>
      </c>
      <c r="G246" s="20">
        <f t="shared" si="9"/>
        <v>415310.4801751909</v>
      </c>
      <c r="H246" s="20">
        <v>0</v>
      </c>
      <c r="I246" s="20">
        <v>0</v>
      </c>
      <c r="J246" s="20">
        <v>0</v>
      </c>
      <c r="K246" s="20">
        <v>77583.952122353992</v>
      </c>
      <c r="L246" s="20">
        <f t="shared" si="8"/>
        <v>492894.4322975449</v>
      </c>
    </row>
    <row r="247" spans="1:12">
      <c r="A247" s="23" t="s">
        <v>1004</v>
      </c>
      <c r="B247" s="19" t="s">
        <v>2307</v>
      </c>
      <c r="C247" s="19">
        <f>VLOOKUP(A247,'Distribution Detail'!$A$2:$F$558,5,FALSE)</f>
        <v>1</v>
      </c>
      <c r="D247" s="25">
        <v>1856852.9</v>
      </c>
      <c r="E247" s="19">
        <v>0.76354369899999996</v>
      </c>
      <c r="F247" s="20">
        <v>1555549.85</v>
      </c>
      <c r="G247" s="20">
        <f t="shared" si="9"/>
        <v>2405181.0722633805</v>
      </c>
      <c r="H247" s="20">
        <v>0</v>
      </c>
      <c r="I247" s="20">
        <v>0</v>
      </c>
      <c r="J247" s="20">
        <v>0</v>
      </c>
      <c r="K247" s="20">
        <v>327380.19179743266</v>
      </c>
      <c r="L247" s="20">
        <f t="shared" si="8"/>
        <v>2732561.264060813</v>
      </c>
    </row>
    <row r="248" spans="1:12">
      <c r="A248" s="23" t="s">
        <v>1006</v>
      </c>
      <c r="B248" s="19" t="s">
        <v>2306</v>
      </c>
      <c r="C248" s="19">
        <f>VLOOKUP(A248,'Distribution Detail'!$A$2:$F$558,5,FALSE)</f>
        <v>1</v>
      </c>
      <c r="D248" s="25">
        <v>440500.31</v>
      </c>
      <c r="E248" s="19">
        <v>0.59708774600000003</v>
      </c>
      <c r="F248" s="20">
        <v>318440.48</v>
      </c>
      <c r="G248" s="20">
        <f t="shared" si="9"/>
        <v>629633.53842649271</v>
      </c>
      <c r="H248" s="20">
        <v>0</v>
      </c>
      <c r="I248" s="20">
        <v>2027.4440264856912</v>
      </c>
      <c r="J248" s="20">
        <v>0</v>
      </c>
      <c r="K248" s="20">
        <v>130596.40613421475</v>
      </c>
      <c r="L248" s="20">
        <f t="shared" si="8"/>
        <v>762257.3885871931</v>
      </c>
    </row>
    <row r="249" spans="1:12">
      <c r="A249" s="23" t="s">
        <v>1008</v>
      </c>
      <c r="B249" s="19" t="s">
        <v>2305</v>
      </c>
      <c r="C249" s="19">
        <f>VLOOKUP(A249,'Distribution Detail'!$A$2:$F$558,5,FALSE)</f>
        <v>1</v>
      </c>
      <c r="D249" s="25">
        <v>1028114.44</v>
      </c>
      <c r="E249" s="19">
        <v>0.549065625</v>
      </c>
      <c r="F249" s="20">
        <v>1028114.44</v>
      </c>
      <c r="G249" s="20">
        <f t="shared" si="9"/>
        <v>2210624.3308105543</v>
      </c>
      <c r="H249" s="20">
        <v>0</v>
      </c>
      <c r="I249" s="20">
        <v>0</v>
      </c>
      <c r="J249" s="20">
        <v>0</v>
      </c>
      <c r="K249" s="20">
        <v>0</v>
      </c>
      <c r="L249" s="20">
        <f t="shared" si="8"/>
        <v>2210624.3308105543</v>
      </c>
    </row>
    <row r="250" spans="1:12">
      <c r="A250" s="23" t="s">
        <v>1010</v>
      </c>
      <c r="B250" s="19" t="s">
        <v>2304</v>
      </c>
      <c r="C250" s="19">
        <f>VLOOKUP(A250,'Distribution Detail'!$A$2:$F$558,5,FALSE)</f>
        <v>1</v>
      </c>
      <c r="D250" s="25">
        <v>2445255.4900000002</v>
      </c>
      <c r="E250" s="19">
        <v>0.47208809899999998</v>
      </c>
      <c r="F250" s="20">
        <v>2439191.15</v>
      </c>
      <c r="G250" s="20">
        <f t="shared" si="9"/>
        <v>6099869.2358734617</v>
      </c>
      <c r="H250" s="20">
        <v>0</v>
      </c>
      <c r="I250" s="20">
        <v>0</v>
      </c>
      <c r="J250" s="20">
        <v>6589.1958024482101</v>
      </c>
      <c r="K250" s="20">
        <v>0</v>
      </c>
      <c r="L250" s="20">
        <f t="shared" si="8"/>
        <v>6106458.43167591</v>
      </c>
    </row>
    <row r="251" spans="1:12">
      <c r="A251" s="23" t="s">
        <v>1012</v>
      </c>
      <c r="B251" s="19" t="s">
        <v>2073</v>
      </c>
      <c r="C251" s="19">
        <f>VLOOKUP(A251,'Distribution Detail'!$A$2:$F$558,5,FALSE)</f>
        <v>1</v>
      </c>
      <c r="D251" s="25">
        <v>3525452.52</v>
      </c>
      <c r="E251" s="19">
        <v>0.39317996999999999</v>
      </c>
      <c r="F251" s="20">
        <v>3134536.15</v>
      </c>
      <c r="G251" s="20">
        <f t="shared" si="9"/>
        <v>9411950.607033575</v>
      </c>
      <c r="H251" s="20">
        <v>0</v>
      </c>
      <c r="I251" s="20">
        <v>424749.3551338301</v>
      </c>
      <c r="J251" s="20">
        <v>0</v>
      </c>
      <c r="K251" s="20">
        <v>0</v>
      </c>
      <c r="L251" s="20">
        <f t="shared" si="8"/>
        <v>9836699.9621674046</v>
      </c>
    </row>
    <row r="252" spans="1:12">
      <c r="A252" s="23" t="s">
        <v>1014</v>
      </c>
      <c r="B252" s="19" t="s">
        <v>2082</v>
      </c>
      <c r="C252" s="19">
        <f>VLOOKUP(A252,'Distribution Detail'!$A$2:$F$558,5,FALSE)</f>
        <v>1</v>
      </c>
      <c r="D252" s="25">
        <v>612010.21</v>
      </c>
      <c r="E252" s="19">
        <v>0.66126204</v>
      </c>
      <c r="F252" s="20">
        <v>609537.42000000004</v>
      </c>
      <c r="G252" s="20">
        <f t="shared" si="9"/>
        <v>1088239.5904999289</v>
      </c>
      <c r="H252" s="20">
        <v>0</v>
      </c>
      <c r="I252" s="20">
        <v>0</v>
      </c>
      <c r="J252" s="20">
        <v>0</v>
      </c>
      <c r="K252" s="20">
        <v>2686.8047451719244</v>
      </c>
      <c r="L252" s="20">
        <f t="shared" si="8"/>
        <v>1090926.3952451008</v>
      </c>
    </row>
    <row r="253" spans="1:12">
      <c r="A253" s="23" t="s">
        <v>1016</v>
      </c>
      <c r="B253" s="19" t="s">
        <v>2303</v>
      </c>
      <c r="C253" s="19">
        <f>VLOOKUP(A253,'Distribution Detail'!$A$2:$F$558,5,FALSE)</f>
        <v>1</v>
      </c>
      <c r="D253" s="25">
        <v>247803.54</v>
      </c>
      <c r="E253" s="19">
        <v>0.78750667299999999</v>
      </c>
      <c r="F253" s="20">
        <v>247803.54</v>
      </c>
      <c r="G253" s="20">
        <f t="shared" si="9"/>
        <v>371493.3170306792</v>
      </c>
      <c r="H253" s="20">
        <v>0</v>
      </c>
      <c r="I253" s="20">
        <v>0</v>
      </c>
      <c r="J253" s="20">
        <v>0</v>
      </c>
      <c r="K253" s="20">
        <v>0</v>
      </c>
      <c r="L253" s="20">
        <f t="shared" si="8"/>
        <v>371493.3170306792</v>
      </c>
    </row>
    <row r="254" spans="1:12">
      <c r="A254" s="23" t="s">
        <v>1018</v>
      </c>
      <c r="B254" s="19" t="s">
        <v>2302</v>
      </c>
      <c r="C254" s="19">
        <f>VLOOKUP(A254,'Distribution Detail'!$A$2:$F$558,5,FALSE)</f>
        <v>1</v>
      </c>
      <c r="D254" s="25">
        <v>1050333.57</v>
      </c>
      <c r="E254" s="19">
        <v>0.46413484399999999</v>
      </c>
      <c r="F254" s="20">
        <v>961750.81</v>
      </c>
      <c r="G254" s="20">
        <f t="shared" si="9"/>
        <v>2446336.1276524235</v>
      </c>
      <c r="H254" s="20">
        <v>0</v>
      </c>
      <c r="I254" s="20">
        <v>0</v>
      </c>
      <c r="J254" s="20">
        <v>0</v>
      </c>
      <c r="K254" s="20">
        <v>96249.410547772248</v>
      </c>
      <c r="L254" s="20">
        <f t="shared" si="8"/>
        <v>2542585.5382001959</v>
      </c>
    </row>
    <row r="255" spans="1:12">
      <c r="A255" s="23" t="s">
        <v>1020</v>
      </c>
      <c r="B255" s="19" t="s">
        <v>2301</v>
      </c>
      <c r="C255" s="19">
        <f>VLOOKUP(A255,'Distribution Detail'!$A$2:$F$558,5,FALSE)</f>
        <v>1</v>
      </c>
      <c r="D255" s="25">
        <v>1000748.82</v>
      </c>
      <c r="E255" s="19">
        <v>0.239107508</v>
      </c>
      <c r="F255" s="20">
        <v>619654.88</v>
      </c>
      <c r="G255" s="20">
        <f t="shared" si="9"/>
        <v>2926224.2654392566</v>
      </c>
      <c r="H255" s="20">
        <v>0</v>
      </c>
      <c r="I255" s="20">
        <v>0</v>
      </c>
      <c r="J255" s="20">
        <v>0</v>
      </c>
      <c r="K255" s="20">
        <v>414076.81458929577</v>
      </c>
      <c r="L255" s="20">
        <f t="shared" si="8"/>
        <v>3340301.0800285526</v>
      </c>
    </row>
    <row r="256" spans="1:12">
      <c r="A256" s="23" t="s">
        <v>1022</v>
      </c>
      <c r="B256" s="19" t="s">
        <v>2300</v>
      </c>
      <c r="C256" s="19">
        <f>VLOOKUP(A256,'Distribution Detail'!$A$2:$F$558,5,FALSE)</f>
        <v>1</v>
      </c>
      <c r="D256" s="25">
        <v>218733.74</v>
      </c>
      <c r="E256" s="19">
        <v>0.40177652899999999</v>
      </c>
      <c r="F256" s="20">
        <v>168306.44</v>
      </c>
      <c r="G256" s="20">
        <f t="shared" si="9"/>
        <v>494554.22129625094</v>
      </c>
      <c r="H256" s="20">
        <v>0</v>
      </c>
      <c r="I256" s="20">
        <v>0</v>
      </c>
      <c r="J256" s="20">
        <v>0</v>
      </c>
      <c r="K256" s="20">
        <v>54791.676173960666</v>
      </c>
      <c r="L256" s="20">
        <f t="shared" si="8"/>
        <v>549345.89747021161</v>
      </c>
    </row>
    <row r="257" spans="1:12">
      <c r="A257" s="23" t="s">
        <v>1024</v>
      </c>
      <c r="B257" s="19" t="s">
        <v>2299</v>
      </c>
      <c r="C257" s="19">
        <f>VLOOKUP(A257,'Distribution Detail'!$A$2:$F$558,5,FALSE)</f>
        <v>1</v>
      </c>
      <c r="D257" s="25">
        <v>997639.34</v>
      </c>
      <c r="E257" s="19">
        <v>0.46215258999999997</v>
      </c>
      <c r="F257" s="20">
        <v>677903.58</v>
      </c>
      <c r="G257" s="20">
        <f t="shared" si="9"/>
        <v>1731730.3879594766</v>
      </c>
      <c r="H257" s="20">
        <v>0</v>
      </c>
      <c r="I257" s="20">
        <v>0</v>
      </c>
      <c r="J257" s="20">
        <v>0</v>
      </c>
      <c r="K257" s="20">
        <v>347408.21386739338</v>
      </c>
      <c r="L257" s="20">
        <f t="shared" si="8"/>
        <v>2079138.6018268699</v>
      </c>
    </row>
    <row r="258" spans="1:12">
      <c r="A258" s="23" t="s">
        <v>1026</v>
      </c>
      <c r="B258" s="19" t="s">
        <v>2298</v>
      </c>
      <c r="C258" s="19">
        <f>VLOOKUP(A258,'Distribution Detail'!$A$2:$F$558,5,FALSE)</f>
        <v>1</v>
      </c>
      <c r="D258" s="25">
        <v>559919.06000000006</v>
      </c>
      <c r="E258" s="19">
        <v>0.48763843800000001</v>
      </c>
      <c r="F258" s="20">
        <v>389119.4</v>
      </c>
      <c r="G258" s="20">
        <f t="shared" si="9"/>
        <v>942068.95849083806</v>
      </c>
      <c r="H258" s="20">
        <v>0</v>
      </c>
      <c r="I258" s="20">
        <v>0</v>
      </c>
      <c r="J258" s="20">
        <v>0</v>
      </c>
      <c r="K258" s="20">
        <v>185582.00937473515</v>
      </c>
      <c r="L258" s="20">
        <f t="shared" ref="L258:L321" si="10">SUM(G258:K258)</f>
        <v>1127650.9678655732</v>
      </c>
    </row>
    <row r="259" spans="1:12">
      <c r="A259" s="23" t="s">
        <v>1028</v>
      </c>
      <c r="B259" s="19" t="s">
        <v>2297</v>
      </c>
      <c r="C259" s="19">
        <f>VLOOKUP(A259,'Distribution Detail'!$A$2:$F$558,5,FALSE)</f>
        <v>1</v>
      </c>
      <c r="D259" s="25">
        <v>395662.81</v>
      </c>
      <c r="E259" s="19">
        <v>0.47286882200000002</v>
      </c>
      <c r="F259" s="20">
        <v>282351.76</v>
      </c>
      <c r="G259" s="20">
        <f t="shared" ref="G259:G322" si="11">(F259/(IF(E259&lt;0.25,0.25,E259))/0.920346)/0.920346</f>
        <v>704932.54384594853</v>
      </c>
      <c r="H259" s="20">
        <v>0</v>
      </c>
      <c r="I259" s="20">
        <v>0</v>
      </c>
      <c r="J259" s="20">
        <v>0</v>
      </c>
      <c r="K259" s="20">
        <v>123117.88175316674</v>
      </c>
      <c r="L259" s="20">
        <f t="shared" si="10"/>
        <v>828050.42559911532</v>
      </c>
    </row>
    <row r="260" spans="1:12">
      <c r="A260" s="23" t="s">
        <v>1030</v>
      </c>
      <c r="B260" s="19" t="s">
        <v>2296</v>
      </c>
      <c r="C260" s="19">
        <f>VLOOKUP(A260,'Distribution Detail'!$A$2:$F$558,5,FALSE)</f>
        <v>1</v>
      </c>
      <c r="D260" s="25">
        <v>501626.18</v>
      </c>
      <c r="E260" s="19">
        <v>0.42569559000000001</v>
      </c>
      <c r="F260" s="20">
        <v>436205.89</v>
      </c>
      <c r="G260" s="20">
        <f t="shared" si="11"/>
        <v>1209734.6386484166</v>
      </c>
      <c r="H260" s="20">
        <v>0</v>
      </c>
      <c r="I260" s="20">
        <v>0</v>
      </c>
      <c r="J260" s="20">
        <v>0</v>
      </c>
      <c r="K260" s="20">
        <v>71082.277752062815</v>
      </c>
      <c r="L260" s="20">
        <f t="shared" si="10"/>
        <v>1280816.9164004794</v>
      </c>
    </row>
    <row r="261" spans="1:12">
      <c r="A261" s="23" t="s">
        <v>1032</v>
      </c>
      <c r="B261" s="19" t="s">
        <v>2295</v>
      </c>
      <c r="C261" s="19">
        <f>VLOOKUP(A261,'Distribution Detail'!$A$2:$F$558,5,FALSE)</f>
        <v>1</v>
      </c>
      <c r="D261" s="25">
        <v>1289785.33</v>
      </c>
      <c r="E261" s="19">
        <v>0.69785167599999998</v>
      </c>
      <c r="F261" s="20">
        <v>1289785.33</v>
      </c>
      <c r="G261" s="20">
        <f t="shared" si="11"/>
        <v>2181986.4476429024</v>
      </c>
      <c r="H261" s="20">
        <v>0</v>
      </c>
      <c r="I261" s="20">
        <v>0</v>
      </c>
      <c r="J261" s="20">
        <v>0</v>
      </c>
      <c r="K261" s="20">
        <v>0</v>
      </c>
      <c r="L261" s="20">
        <f t="shared" si="10"/>
        <v>2181986.4476429024</v>
      </c>
    </row>
    <row r="262" spans="1:12">
      <c r="A262" s="23" t="s">
        <v>1034</v>
      </c>
      <c r="B262" s="19" t="s">
        <v>2263</v>
      </c>
      <c r="C262" s="19">
        <f>VLOOKUP(A262,'Distribution Detail'!$A$2:$F$558,5,FALSE)</f>
        <v>1</v>
      </c>
      <c r="D262" s="25">
        <v>1211739.8999999999</v>
      </c>
      <c r="E262" s="19">
        <v>0.45936311699999999</v>
      </c>
      <c r="F262" s="20">
        <v>959941</v>
      </c>
      <c r="G262" s="20">
        <f t="shared" si="11"/>
        <v>2467096.6347421161</v>
      </c>
      <c r="H262" s="20">
        <v>0</v>
      </c>
      <c r="I262" s="20">
        <v>0</v>
      </c>
      <c r="J262" s="20">
        <v>0</v>
      </c>
      <c r="K262" s="20">
        <v>273591.56230374228</v>
      </c>
      <c r="L262" s="20">
        <f t="shared" si="10"/>
        <v>2740688.1970458585</v>
      </c>
    </row>
    <row r="263" spans="1:12">
      <c r="A263" s="23" t="s">
        <v>1036</v>
      </c>
      <c r="B263" s="19" t="s">
        <v>1994</v>
      </c>
      <c r="C263" s="19">
        <f>VLOOKUP(A263,'Distribution Detail'!$A$2:$F$558,5,FALSE)</f>
        <v>1</v>
      </c>
      <c r="D263" s="25">
        <v>815622.63</v>
      </c>
      <c r="E263" s="19">
        <v>0.48260803899999999</v>
      </c>
      <c r="F263" s="20">
        <v>631588.26</v>
      </c>
      <c r="G263" s="20">
        <f t="shared" si="11"/>
        <v>1545031.1456237237</v>
      </c>
      <c r="H263" s="20">
        <v>0</v>
      </c>
      <c r="I263" s="20">
        <v>0</v>
      </c>
      <c r="J263" s="20">
        <v>0</v>
      </c>
      <c r="K263" s="20">
        <v>199962.15553715668</v>
      </c>
      <c r="L263" s="20">
        <f t="shared" si="10"/>
        <v>1744993.3011608804</v>
      </c>
    </row>
    <row r="264" spans="1:12">
      <c r="A264" s="23" t="s">
        <v>1038</v>
      </c>
      <c r="B264" s="19" t="s">
        <v>2076</v>
      </c>
      <c r="C264" s="19">
        <f>VLOOKUP(A264,'Distribution Detail'!$A$2:$F$558,5,FALSE)</f>
        <v>1</v>
      </c>
      <c r="D264" s="25">
        <v>273191.63</v>
      </c>
      <c r="E264" s="19">
        <v>0.42522572600000003</v>
      </c>
      <c r="F264" s="20">
        <v>179093.03</v>
      </c>
      <c r="G264" s="20">
        <f t="shared" si="11"/>
        <v>497229.50884523464</v>
      </c>
      <c r="H264" s="20">
        <v>0</v>
      </c>
      <c r="I264" s="20">
        <v>0</v>
      </c>
      <c r="J264" s="20">
        <v>0</v>
      </c>
      <c r="K264" s="20">
        <v>102242.63483515983</v>
      </c>
      <c r="L264" s="20">
        <f t="shared" si="10"/>
        <v>599472.14368039451</v>
      </c>
    </row>
    <row r="265" spans="1:12">
      <c r="A265" s="23" t="s">
        <v>1040</v>
      </c>
      <c r="B265" s="19" t="s">
        <v>2294</v>
      </c>
      <c r="C265" s="19">
        <f>VLOOKUP(A265,'Distribution Detail'!$A$2:$F$558,5,FALSE)</f>
        <v>1</v>
      </c>
      <c r="D265" s="25">
        <v>403256.62</v>
      </c>
      <c r="E265" s="19">
        <v>0.41203304699999999</v>
      </c>
      <c r="F265" s="20">
        <v>403256.62</v>
      </c>
      <c r="G265" s="20">
        <f t="shared" si="11"/>
        <v>1155439.4658956369</v>
      </c>
      <c r="H265" s="20">
        <v>0</v>
      </c>
      <c r="I265" s="20">
        <v>0</v>
      </c>
      <c r="J265" s="20">
        <v>0</v>
      </c>
      <c r="K265" s="20">
        <v>0</v>
      </c>
      <c r="L265" s="20">
        <f t="shared" si="10"/>
        <v>1155439.4658956369</v>
      </c>
    </row>
    <row r="266" spans="1:12">
      <c r="A266" s="23" t="s">
        <v>1042</v>
      </c>
      <c r="B266" s="19" t="s">
        <v>2293</v>
      </c>
      <c r="C266" s="19">
        <f>VLOOKUP(A266,'Distribution Detail'!$A$2:$F$558,5,FALSE)</f>
        <v>1</v>
      </c>
      <c r="D266" s="25">
        <v>1025269.51</v>
      </c>
      <c r="E266" s="19">
        <v>0.68341131499999996</v>
      </c>
      <c r="F266" s="20">
        <v>1025269.51</v>
      </c>
      <c r="G266" s="20">
        <f t="shared" si="11"/>
        <v>1771142.9674448485</v>
      </c>
      <c r="H266" s="20">
        <v>0</v>
      </c>
      <c r="I266" s="20">
        <v>0</v>
      </c>
      <c r="J266" s="20">
        <v>0</v>
      </c>
      <c r="K266" s="20">
        <v>0</v>
      </c>
      <c r="L266" s="20">
        <f t="shared" si="10"/>
        <v>1771142.9674448485</v>
      </c>
    </row>
    <row r="267" spans="1:12">
      <c r="A267" s="23" t="s">
        <v>1044</v>
      </c>
      <c r="B267" s="19" t="s">
        <v>2292</v>
      </c>
      <c r="C267" s="19">
        <f>VLOOKUP(A267,'Distribution Detail'!$A$2:$F$558,5,FALSE)</f>
        <v>1</v>
      </c>
      <c r="D267" s="25">
        <v>373028.66</v>
      </c>
      <c r="E267" s="19">
        <v>0.64270262199999995</v>
      </c>
      <c r="F267" s="20">
        <v>326692.58</v>
      </c>
      <c r="G267" s="20">
        <f t="shared" si="11"/>
        <v>600104.57920400717</v>
      </c>
      <c r="H267" s="20">
        <v>0</v>
      </c>
      <c r="I267" s="20">
        <v>0</v>
      </c>
      <c r="J267" s="20">
        <v>0</v>
      </c>
      <c r="K267" s="20">
        <v>50346.369734860586</v>
      </c>
      <c r="L267" s="20">
        <f t="shared" si="10"/>
        <v>650450.94893886778</v>
      </c>
    </row>
    <row r="268" spans="1:12">
      <c r="A268" s="23" t="s">
        <v>1046</v>
      </c>
      <c r="B268" s="19" t="s">
        <v>2291</v>
      </c>
      <c r="C268" s="19">
        <f>VLOOKUP(A268,'Distribution Detail'!$A$2:$F$558,5,FALSE)</f>
        <v>1</v>
      </c>
      <c r="D268" s="25">
        <v>754058.55</v>
      </c>
      <c r="E268" s="19">
        <v>0.36013727099999998</v>
      </c>
      <c r="F268" s="20">
        <v>524486.03</v>
      </c>
      <c r="G268" s="20">
        <f t="shared" si="11"/>
        <v>1719347.2463506446</v>
      </c>
      <c r="H268" s="20">
        <v>0</v>
      </c>
      <c r="I268" s="20">
        <v>0</v>
      </c>
      <c r="J268" s="20">
        <v>0</v>
      </c>
      <c r="K268" s="20">
        <v>249441.53611793823</v>
      </c>
      <c r="L268" s="20">
        <f t="shared" si="10"/>
        <v>1968788.782468583</v>
      </c>
    </row>
    <row r="269" spans="1:12">
      <c r="A269" s="23" t="s">
        <v>1048</v>
      </c>
      <c r="B269" s="19" t="s">
        <v>2290</v>
      </c>
      <c r="C269" s="19">
        <f>VLOOKUP(A269,'Distribution Detail'!$A$2:$F$558,5,FALSE)</f>
        <v>1</v>
      </c>
      <c r="D269" s="25">
        <v>429551.32</v>
      </c>
      <c r="E269" s="19">
        <v>0.698003649</v>
      </c>
      <c r="F269" s="20">
        <v>335654.6</v>
      </c>
      <c r="G269" s="20">
        <f t="shared" si="11"/>
        <v>567717.98426972341</v>
      </c>
      <c r="H269" s="20">
        <v>0</v>
      </c>
      <c r="I269" s="20">
        <v>0</v>
      </c>
      <c r="J269" s="20">
        <v>0</v>
      </c>
      <c r="K269" s="20">
        <v>102023.28254808518</v>
      </c>
      <c r="L269" s="20">
        <f t="shared" si="10"/>
        <v>669741.26681780862</v>
      </c>
    </row>
    <row r="270" spans="1:12">
      <c r="A270" s="23" t="s">
        <v>1050</v>
      </c>
      <c r="B270" s="19" t="s">
        <v>2289</v>
      </c>
      <c r="C270" s="19">
        <f>VLOOKUP(A270,'Distribution Detail'!$A$2:$F$558,5,FALSE)</f>
        <v>1</v>
      </c>
      <c r="D270" s="25">
        <v>1229700.8999999999</v>
      </c>
      <c r="E270" s="19">
        <v>0.68115930099999999</v>
      </c>
      <c r="F270" s="20">
        <v>1229700.8999999999</v>
      </c>
      <c r="G270" s="20">
        <f t="shared" si="11"/>
        <v>2131319.4168338515</v>
      </c>
      <c r="H270" s="20">
        <v>0</v>
      </c>
      <c r="I270" s="20">
        <v>0</v>
      </c>
      <c r="J270" s="20">
        <v>0</v>
      </c>
      <c r="K270" s="20">
        <v>0</v>
      </c>
      <c r="L270" s="20">
        <f t="shared" si="10"/>
        <v>2131319.4168338515</v>
      </c>
    </row>
    <row r="271" spans="1:12">
      <c r="A271" s="23" t="s">
        <v>1052</v>
      </c>
      <c r="B271" s="19" t="s">
        <v>2288</v>
      </c>
      <c r="C271" s="19">
        <f>VLOOKUP(A271,'Distribution Detail'!$A$2:$F$558,5,FALSE)</f>
        <v>1</v>
      </c>
      <c r="D271" s="25">
        <v>1649306.51</v>
      </c>
      <c r="E271" s="19">
        <v>0.45119794099999999</v>
      </c>
      <c r="F271" s="20">
        <v>1649306.51</v>
      </c>
      <c r="G271" s="20">
        <f t="shared" si="11"/>
        <v>4315508.7927621799</v>
      </c>
      <c r="H271" s="20">
        <v>0</v>
      </c>
      <c r="I271" s="20">
        <v>0</v>
      </c>
      <c r="J271" s="20">
        <v>0</v>
      </c>
      <c r="K271" s="20">
        <v>0</v>
      </c>
      <c r="L271" s="20">
        <f t="shared" si="10"/>
        <v>4315508.7927621799</v>
      </c>
    </row>
    <row r="272" spans="1:12">
      <c r="A272" s="23" t="s">
        <v>1054</v>
      </c>
      <c r="B272" s="19" t="s">
        <v>2287</v>
      </c>
      <c r="C272" s="19">
        <f>VLOOKUP(A272,'Distribution Detail'!$A$2:$F$558,5,FALSE)</f>
        <v>1</v>
      </c>
      <c r="D272" s="25">
        <v>329536.62</v>
      </c>
      <c r="E272" s="19">
        <v>0.53347283899999998</v>
      </c>
      <c r="F272" s="20">
        <v>267771.55</v>
      </c>
      <c r="G272" s="20">
        <f t="shared" si="11"/>
        <v>592583.91844670952</v>
      </c>
      <c r="H272" s="20">
        <v>0</v>
      </c>
      <c r="I272" s="20">
        <v>506.86372299113594</v>
      </c>
      <c r="J272" s="20">
        <v>0</v>
      </c>
      <c r="K272" s="20">
        <v>66603.842467941402</v>
      </c>
      <c r="L272" s="20">
        <f t="shared" si="10"/>
        <v>659694.62463764194</v>
      </c>
    </row>
    <row r="273" spans="1:12">
      <c r="A273" s="23" t="s">
        <v>1056</v>
      </c>
      <c r="B273" s="19" t="s">
        <v>2286</v>
      </c>
      <c r="C273" s="19">
        <f>VLOOKUP(A273,'Distribution Detail'!$A$2:$F$558,5,FALSE)</f>
        <v>1</v>
      </c>
      <c r="D273" s="25">
        <v>796637.28</v>
      </c>
      <c r="E273" s="19">
        <v>0.64511110100000002</v>
      </c>
      <c r="F273" s="20">
        <v>642300.6</v>
      </c>
      <c r="G273" s="20">
        <f t="shared" si="11"/>
        <v>1175442.9463813095</v>
      </c>
      <c r="H273" s="20">
        <v>0</v>
      </c>
      <c r="I273" s="20">
        <v>0</v>
      </c>
      <c r="J273" s="20">
        <v>0</v>
      </c>
      <c r="K273" s="20">
        <v>167694.19327079164</v>
      </c>
      <c r="L273" s="20">
        <f t="shared" si="10"/>
        <v>1343137.1396521011</v>
      </c>
    </row>
    <row r="274" spans="1:12">
      <c r="A274" s="23" t="s">
        <v>1058</v>
      </c>
      <c r="B274" s="19" t="s">
        <v>2285</v>
      </c>
      <c r="C274" s="19">
        <f>VLOOKUP(A274,'Distribution Detail'!$A$2:$F$558,5,FALSE)</f>
        <v>1</v>
      </c>
      <c r="D274" s="25">
        <v>853227.57</v>
      </c>
      <c r="E274" s="19">
        <v>0.40828753899999998</v>
      </c>
      <c r="F274" s="20">
        <v>573197.15</v>
      </c>
      <c r="G274" s="20">
        <f t="shared" si="11"/>
        <v>1657431.6917128684</v>
      </c>
      <c r="H274" s="20">
        <v>0</v>
      </c>
      <c r="I274" s="20">
        <v>0</v>
      </c>
      <c r="J274" s="20">
        <v>506.86372299113594</v>
      </c>
      <c r="K274" s="20">
        <v>303759.59693419648</v>
      </c>
      <c r="L274" s="20">
        <f t="shared" si="10"/>
        <v>1961698.1523700561</v>
      </c>
    </row>
    <row r="275" spans="1:12">
      <c r="A275" s="23" t="s">
        <v>1060</v>
      </c>
      <c r="B275" s="19" t="s">
        <v>2284</v>
      </c>
      <c r="C275" s="19">
        <f>VLOOKUP(A275,'Distribution Detail'!$A$2:$F$558,5,FALSE)</f>
        <v>1</v>
      </c>
      <c r="D275" s="25">
        <v>538871.12</v>
      </c>
      <c r="E275" s="19">
        <v>0.52306965699999997</v>
      </c>
      <c r="F275" s="20">
        <v>379831.25</v>
      </c>
      <c r="G275" s="20">
        <f t="shared" si="11"/>
        <v>857292.26824546128</v>
      </c>
      <c r="H275" s="20">
        <v>0</v>
      </c>
      <c r="I275" s="20">
        <v>0</v>
      </c>
      <c r="J275" s="20">
        <v>0</v>
      </c>
      <c r="K275" s="20">
        <v>172804.43441922928</v>
      </c>
      <c r="L275" s="20">
        <f t="shared" si="10"/>
        <v>1030096.7026646906</v>
      </c>
    </row>
    <row r="276" spans="1:12">
      <c r="A276" s="23" t="s">
        <v>1062</v>
      </c>
      <c r="B276" s="19" t="s">
        <v>2283</v>
      </c>
      <c r="C276" s="19">
        <f>VLOOKUP(A276,'Distribution Detail'!$A$2:$F$558,5,FALSE)</f>
        <v>1</v>
      </c>
      <c r="D276" s="25">
        <v>1075888.6200000001</v>
      </c>
      <c r="E276" s="19">
        <v>0.48316508600000002</v>
      </c>
      <c r="F276" s="20">
        <v>778116.69</v>
      </c>
      <c r="G276" s="20">
        <f t="shared" si="11"/>
        <v>1901283.7144850672</v>
      </c>
      <c r="H276" s="20">
        <v>0</v>
      </c>
      <c r="I276" s="20">
        <v>0</v>
      </c>
      <c r="J276" s="20">
        <v>0</v>
      </c>
      <c r="K276" s="20">
        <v>323543.46082886215</v>
      </c>
      <c r="L276" s="20">
        <f t="shared" si="10"/>
        <v>2224827.1753139291</v>
      </c>
    </row>
    <row r="277" spans="1:12">
      <c r="A277" s="23" t="s">
        <v>1064</v>
      </c>
      <c r="B277" s="19" t="s">
        <v>2011</v>
      </c>
      <c r="C277" s="19">
        <f>VLOOKUP(A277,'Distribution Detail'!$A$2:$F$558,5,FALSE)</f>
        <v>1</v>
      </c>
      <c r="D277" s="25">
        <v>419977.71</v>
      </c>
      <c r="E277" s="19">
        <v>0.56486566599999999</v>
      </c>
      <c r="F277" s="20">
        <v>339391.44</v>
      </c>
      <c r="G277" s="20">
        <f t="shared" si="11"/>
        <v>709338.36286384775</v>
      </c>
      <c r="H277" s="20">
        <v>0</v>
      </c>
      <c r="I277" s="20">
        <v>0</v>
      </c>
      <c r="J277" s="20">
        <v>0</v>
      </c>
      <c r="K277" s="20">
        <v>87560.84124883468</v>
      </c>
      <c r="L277" s="20">
        <f t="shared" si="10"/>
        <v>796899.20411268249</v>
      </c>
    </row>
    <row r="278" spans="1:12">
      <c r="A278" s="23" t="s">
        <v>1066</v>
      </c>
      <c r="B278" s="19" t="s">
        <v>2111</v>
      </c>
      <c r="C278" s="19">
        <f>VLOOKUP(A278,'Distribution Detail'!$A$2:$F$558,5,FALSE)</f>
        <v>1</v>
      </c>
      <c r="D278" s="25">
        <v>3451700.51</v>
      </c>
      <c r="E278" s="19">
        <v>0.56040198699999999</v>
      </c>
      <c r="F278" s="20">
        <v>2452494.2599999998</v>
      </c>
      <c r="G278" s="20">
        <f t="shared" si="11"/>
        <v>5166614.6951364586</v>
      </c>
      <c r="H278" s="20">
        <v>0</v>
      </c>
      <c r="I278" s="20">
        <v>0</v>
      </c>
      <c r="J278" s="20">
        <v>0</v>
      </c>
      <c r="K278" s="20">
        <v>1085685.4378679323</v>
      </c>
      <c r="L278" s="20">
        <f t="shared" si="10"/>
        <v>6252300.1330043906</v>
      </c>
    </row>
    <row r="279" spans="1:12">
      <c r="A279" s="23" t="s">
        <v>1068</v>
      </c>
      <c r="B279" s="19" t="s">
        <v>2282</v>
      </c>
      <c r="C279" s="19">
        <f>VLOOKUP(A279,'Distribution Detail'!$A$2:$F$558,5,FALSE)</f>
        <v>1</v>
      </c>
      <c r="D279" s="25">
        <v>590367.30000000005</v>
      </c>
      <c r="E279" s="19">
        <v>0.47979577299999998</v>
      </c>
      <c r="F279" s="20">
        <v>415379.25</v>
      </c>
      <c r="G279" s="20">
        <f t="shared" si="11"/>
        <v>1022082.8992988978</v>
      </c>
      <c r="H279" s="20">
        <v>0</v>
      </c>
      <c r="I279" s="20">
        <v>0</v>
      </c>
      <c r="J279" s="20">
        <v>0</v>
      </c>
      <c r="K279" s="20">
        <v>190132.89567184515</v>
      </c>
      <c r="L279" s="20">
        <f t="shared" si="10"/>
        <v>1212215.7949707429</v>
      </c>
    </row>
    <row r="280" spans="1:12">
      <c r="A280" s="23" t="s">
        <v>1070</v>
      </c>
      <c r="B280" s="19" t="s">
        <v>2281</v>
      </c>
      <c r="C280" s="19">
        <f>VLOOKUP(A280,'Distribution Detail'!$A$2:$F$558,5,FALSE)</f>
        <v>1</v>
      </c>
      <c r="D280" s="25">
        <v>557575.39</v>
      </c>
      <c r="E280" s="19">
        <v>0.55301196100000005</v>
      </c>
      <c r="F280" s="20">
        <v>393988.8</v>
      </c>
      <c r="G280" s="20">
        <f t="shared" si="11"/>
        <v>841098.95476528094</v>
      </c>
      <c r="H280" s="20">
        <v>0</v>
      </c>
      <c r="I280" s="20">
        <v>0</v>
      </c>
      <c r="J280" s="20">
        <v>0</v>
      </c>
      <c r="K280" s="20">
        <v>177744.66342006158</v>
      </c>
      <c r="L280" s="20">
        <f t="shared" si="10"/>
        <v>1018843.6181853425</v>
      </c>
    </row>
    <row r="281" spans="1:12">
      <c r="A281" s="23" t="s">
        <v>1072</v>
      </c>
      <c r="B281" s="19" t="s">
        <v>2280</v>
      </c>
      <c r="C281" s="19">
        <f>VLOOKUP(A281,'Distribution Detail'!$A$2:$F$558,5,FALSE)</f>
        <v>1</v>
      </c>
      <c r="D281" s="25">
        <v>1272404.71</v>
      </c>
      <c r="E281" s="19">
        <v>0.3704074</v>
      </c>
      <c r="F281" s="20">
        <v>764783.64</v>
      </c>
      <c r="G281" s="20">
        <f t="shared" si="11"/>
        <v>2437567.6435183543</v>
      </c>
      <c r="H281" s="20">
        <v>0</v>
      </c>
      <c r="I281" s="20">
        <v>506.86372299113594</v>
      </c>
      <c r="J281" s="20">
        <v>0</v>
      </c>
      <c r="K281" s="20">
        <v>551047.7363947907</v>
      </c>
      <c r="L281" s="20">
        <f t="shared" si="10"/>
        <v>2989122.2436361359</v>
      </c>
    </row>
    <row r="282" spans="1:12">
      <c r="A282" s="23" t="s">
        <v>1074</v>
      </c>
      <c r="B282" s="19" t="s">
        <v>2279</v>
      </c>
      <c r="C282" s="19">
        <f>VLOOKUP(A282,'Distribution Detail'!$A$2:$F$558,5,FALSE)</f>
        <v>1</v>
      </c>
      <c r="D282" s="25">
        <v>387463.38</v>
      </c>
      <c r="E282" s="19">
        <v>0.44177476900000001</v>
      </c>
      <c r="F282" s="20">
        <v>250579.13</v>
      </c>
      <c r="G282" s="20">
        <f t="shared" si="11"/>
        <v>669640.52825809643</v>
      </c>
      <c r="H282" s="20">
        <v>0</v>
      </c>
      <c r="I282" s="20">
        <v>0</v>
      </c>
      <c r="J282" s="20">
        <v>0</v>
      </c>
      <c r="K282" s="20">
        <v>148731.29236178569</v>
      </c>
      <c r="L282" s="20">
        <f t="shared" si="10"/>
        <v>818371.82061988208</v>
      </c>
    </row>
    <row r="283" spans="1:12">
      <c r="A283" s="23" t="s">
        <v>1076</v>
      </c>
      <c r="B283" s="19" t="s">
        <v>2278</v>
      </c>
      <c r="C283" s="19">
        <f>VLOOKUP(A283,'Distribution Detail'!$A$2:$F$558,5,FALSE)</f>
        <v>1</v>
      </c>
      <c r="D283" s="25">
        <v>501049.51</v>
      </c>
      <c r="E283" s="19">
        <v>0.40676472299999999</v>
      </c>
      <c r="F283" s="20">
        <v>317036.34999999998</v>
      </c>
      <c r="G283" s="20">
        <f t="shared" si="11"/>
        <v>920160.35917133302</v>
      </c>
      <c r="H283" s="20">
        <v>0</v>
      </c>
      <c r="I283" s="20">
        <v>0</v>
      </c>
      <c r="J283" s="20">
        <v>0</v>
      </c>
      <c r="K283" s="20">
        <v>199939.10985651048</v>
      </c>
      <c r="L283" s="20">
        <f t="shared" si="10"/>
        <v>1120099.4690278436</v>
      </c>
    </row>
    <row r="284" spans="1:12">
      <c r="A284" s="23" t="s">
        <v>1078</v>
      </c>
      <c r="B284" s="19" t="s">
        <v>2277</v>
      </c>
      <c r="C284" s="19">
        <f>VLOOKUP(A284,'Distribution Detail'!$A$2:$F$558,5,FALSE)</f>
        <v>1</v>
      </c>
      <c r="D284" s="25">
        <v>771307.13</v>
      </c>
      <c r="E284" s="19">
        <v>0.43260195400000001</v>
      </c>
      <c r="F284" s="20">
        <v>494591.88</v>
      </c>
      <c r="G284" s="20">
        <f t="shared" si="11"/>
        <v>1349759.0467525206</v>
      </c>
      <c r="H284" s="20">
        <v>0</v>
      </c>
      <c r="I284" s="20">
        <v>0</v>
      </c>
      <c r="J284" s="20">
        <v>0</v>
      </c>
      <c r="K284" s="20">
        <v>300664.36970443727</v>
      </c>
      <c r="L284" s="20">
        <f t="shared" si="10"/>
        <v>1650423.4164569578</v>
      </c>
    </row>
    <row r="285" spans="1:12">
      <c r="A285" s="23" t="s">
        <v>1080</v>
      </c>
      <c r="B285" s="19" t="s">
        <v>2276</v>
      </c>
      <c r="C285" s="19">
        <f>VLOOKUP(A285,'Distribution Detail'!$A$2:$F$558,5,FALSE)</f>
        <v>1</v>
      </c>
      <c r="D285" s="25">
        <v>94696.92</v>
      </c>
      <c r="E285" s="19">
        <v>0.05</v>
      </c>
      <c r="F285" s="20">
        <v>94696.92</v>
      </c>
      <c r="G285" s="20">
        <f t="shared" si="11"/>
        <v>447191.54824756645</v>
      </c>
      <c r="H285" s="20">
        <v>0</v>
      </c>
      <c r="I285" s="20">
        <v>0</v>
      </c>
      <c r="J285" s="20">
        <v>0</v>
      </c>
      <c r="K285" s="20">
        <v>0</v>
      </c>
      <c r="L285" s="20">
        <f t="shared" si="10"/>
        <v>447191.54824756645</v>
      </c>
    </row>
    <row r="286" spans="1:12">
      <c r="A286" s="23" t="s">
        <v>1082</v>
      </c>
      <c r="B286" s="19" t="s">
        <v>2275</v>
      </c>
      <c r="C286" s="19">
        <f>VLOOKUP(A286,'Distribution Detail'!$A$2:$F$558,5,FALSE)</f>
        <v>1</v>
      </c>
      <c r="D286" s="25">
        <v>139785.43</v>
      </c>
      <c r="E286" s="19">
        <v>0.05</v>
      </c>
      <c r="F286" s="20">
        <v>139785.43</v>
      </c>
      <c r="G286" s="20">
        <f t="shared" si="11"/>
        <v>660115.05827382579</v>
      </c>
      <c r="H286" s="20">
        <v>0</v>
      </c>
      <c r="I286" s="20">
        <v>0</v>
      </c>
      <c r="J286" s="20">
        <v>0</v>
      </c>
      <c r="K286" s="20">
        <v>0</v>
      </c>
      <c r="L286" s="20">
        <f t="shared" si="10"/>
        <v>660115.05827382579</v>
      </c>
    </row>
    <row r="287" spans="1:12">
      <c r="A287" s="23" t="s">
        <v>1084</v>
      </c>
      <c r="B287" s="19" t="s">
        <v>2274</v>
      </c>
      <c r="C287" s="19">
        <f>VLOOKUP(A287,'Distribution Detail'!$A$2:$F$558,5,FALSE)</f>
        <v>1</v>
      </c>
      <c r="D287" s="25">
        <v>984703.21</v>
      </c>
      <c r="E287" s="19">
        <v>0.46311750699999998</v>
      </c>
      <c r="F287" s="20">
        <v>984703.21</v>
      </c>
      <c r="G287" s="20">
        <f t="shared" si="11"/>
        <v>2510220.642837957</v>
      </c>
      <c r="H287" s="20">
        <v>0</v>
      </c>
      <c r="I287" s="20">
        <v>0</v>
      </c>
      <c r="J287" s="20">
        <v>0</v>
      </c>
      <c r="K287" s="20">
        <v>0</v>
      </c>
      <c r="L287" s="20">
        <f t="shared" si="10"/>
        <v>2510220.642837957</v>
      </c>
    </row>
    <row r="288" spans="1:12">
      <c r="A288" s="23" t="s">
        <v>1086</v>
      </c>
      <c r="B288" s="19" t="s">
        <v>2273</v>
      </c>
      <c r="C288" s="19">
        <f>VLOOKUP(A288,'Distribution Detail'!$A$2:$F$558,5,FALSE)</f>
        <v>1</v>
      </c>
      <c r="D288" s="25">
        <v>379140.29</v>
      </c>
      <c r="E288" s="19">
        <v>0.05</v>
      </c>
      <c r="F288" s="20">
        <v>378207.32</v>
      </c>
      <c r="G288" s="20">
        <f t="shared" si="11"/>
        <v>1786025.532713871</v>
      </c>
      <c r="H288" s="20">
        <v>0</v>
      </c>
      <c r="I288" s="20">
        <v>1013.7165805034194</v>
      </c>
      <c r="J288" s="20">
        <v>0</v>
      </c>
      <c r="K288" s="20">
        <v>0</v>
      </c>
      <c r="L288" s="20">
        <f t="shared" si="10"/>
        <v>1787039.2492943744</v>
      </c>
    </row>
    <row r="289" spans="1:12">
      <c r="A289" s="23" t="s">
        <v>1087</v>
      </c>
      <c r="B289" s="19" t="s">
        <v>2272</v>
      </c>
      <c r="C289" s="19">
        <f>VLOOKUP(A289,'Distribution Detail'!$A$2:$F$558,5,FALSE)</f>
        <v>1</v>
      </c>
      <c r="D289" s="25">
        <v>129255.5</v>
      </c>
      <c r="E289" s="19">
        <v>0.27164958500000003</v>
      </c>
      <c r="F289" s="20">
        <v>129255.5</v>
      </c>
      <c r="G289" s="20">
        <f t="shared" si="11"/>
        <v>561743.07572516357</v>
      </c>
      <c r="H289" s="20">
        <v>0</v>
      </c>
      <c r="I289" s="20">
        <v>0</v>
      </c>
      <c r="J289" s="20">
        <v>0</v>
      </c>
      <c r="K289" s="20">
        <v>0</v>
      </c>
      <c r="L289" s="20">
        <f t="shared" si="10"/>
        <v>561743.07572516357</v>
      </c>
    </row>
    <row r="290" spans="1:12">
      <c r="A290" s="23" t="s">
        <v>1089</v>
      </c>
      <c r="B290" s="19" t="s">
        <v>2271</v>
      </c>
      <c r="C290" s="19">
        <f>VLOOKUP(A290,'Distribution Detail'!$A$2:$F$558,5,FALSE)</f>
        <v>1</v>
      </c>
      <c r="D290" s="25">
        <v>498023.4</v>
      </c>
      <c r="E290" s="19">
        <v>6.0320733000000001E-2</v>
      </c>
      <c r="F290" s="20">
        <v>498023.4</v>
      </c>
      <c r="G290" s="20">
        <f t="shared" si="11"/>
        <v>2351838.4263133067</v>
      </c>
      <c r="H290" s="20">
        <v>0</v>
      </c>
      <c r="I290" s="20">
        <v>0</v>
      </c>
      <c r="J290" s="20">
        <v>0</v>
      </c>
      <c r="K290" s="20">
        <v>0</v>
      </c>
      <c r="L290" s="20">
        <f t="shared" si="10"/>
        <v>2351838.4263133067</v>
      </c>
    </row>
    <row r="291" spans="1:12">
      <c r="A291" s="23" t="s">
        <v>1091</v>
      </c>
      <c r="B291" s="19" t="s">
        <v>2270</v>
      </c>
      <c r="C291" s="19">
        <f>VLOOKUP(A291,'Distribution Detail'!$A$2:$F$558,5,FALSE)</f>
        <v>1</v>
      </c>
      <c r="D291" s="25">
        <v>428457.88</v>
      </c>
      <c r="E291" s="19">
        <v>0.49931682599999999</v>
      </c>
      <c r="F291" s="20">
        <v>295706.53000000003</v>
      </c>
      <c r="G291" s="20">
        <f t="shared" si="11"/>
        <v>699169.46919049066</v>
      </c>
      <c r="H291" s="20">
        <v>0</v>
      </c>
      <c r="I291" s="20">
        <v>0</v>
      </c>
      <c r="J291" s="20">
        <v>0</v>
      </c>
      <c r="K291" s="20">
        <v>144240.69860682831</v>
      </c>
      <c r="L291" s="20">
        <f t="shared" si="10"/>
        <v>843410.16779731901</v>
      </c>
    </row>
    <row r="292" spans="1:12">
      <c r="A292" s="23" t="s">
        <v>1093</v>
      </c>
      <c r="B292" s="19" t="s">
        <v>2269</v>
      </c>
      <c r="C292" s="19">
        <f>VLOOKUP(A292,'Distribution Detail'!$A$2:$F$558,5,FALSE)</f>
        <v>1</v>
      </c>
      <c r="D292" s="25">
        <v>410117.08</v>
      </c>
      <c r="E292" s="19">
        <v>0.50647098300000004</v>
      </c>
      <c r="F292" s="20">
        <v>302803.88</v>
      </c>
      <c r="G292" s="20">
        <f t="shared" si="11"/>
        <v>705837.30641464703</v>
      </c>
      <c r="H292" s="20">
        <v>0</v>
      </c>
      <c r="I292" s="20">
        <v>0</v>
      </c>
      <c r="J292" s="20">
        <v>0</v>
      </c>
      <c r="K292" s="20">
        <v>116600.93051960893</v>
      </c>
      <c r="L292" s="20">
        <f t="shared" si="10"/>
        <v>822438.23693425593</v>
      </c>
    </row>
    <row r="293" spans="1:12">
      <c r="A293" s="23" t="s">
        <v>1094</v>
      </c>
      <c r="B293" s="19" t="s">
        <v>2268</v>
      </c>
      <c r="C293" s="19">
        <f>VLOOKUP(A293,'Distribution Detail'!$A$2:$F$558,5,FALSE)</f>
        <v>1</v>
      </c>
      <c r="D293" s="25">
        <v>360322.31</v>
      </c>
      <c r="E293" s="19">
        <v>0.40671729499999998</v>
      </c>
      <c r="F293" s="20">
        <v>231022.33</v>
      </c>
      <c r="G293" s="20">
        <f t="shared" si="11"/>
        <v>670593.06980439893</v>
      </c>
      <c r="H293" s="20">
        <v>0</v>
      </c>
      <c r="I293" s="20">
        <v>0</v>
      </c>
      <c r="J293" s="20">
        <v>0</v>
      </c>
      <c r="K293" s="20">
        <v>140490.6198321066</v>
      </c>
      <c r="L293" s="20">
        <f t="shared" si="10"/>
        <v>811083.68963650556</v>
      </c>
    </row>
    <row r="294" spans="1:12">
      <c r="A294" s="23" t="s">
        <v>1096</v>
      </c>
      <c r="B294" s="19" t="s">
        <v>2267</v>
      </c>
      <c r="C294" s="19">
        <f>VLOOKUP(A294,'Distribution Detail'!$A$2:$F$558,5,FALSE)</f>
        <v>1</v>
      </c>
      <c r="D294" s="25">
        <v>338058.54</v>
      </c>
      <c r="E294" s="19">
        <v>0.486166714</v>
      </c>
      <c r="F294" s="20">
        <v>239944.46</v>
      </c>
      <c r="G294" s="20">
        <f t="shared" si="11"/>
        <v>582670.79120389326</v>
      </c>
      <c r="H294" s="20">
        <v>0</v>
      </c>
      <c r="I294" s="20">
        <v>0</v>
      </c>
      <c r="J294" s="20">
        <v>0</v>
      </c>
      <c r="K294" s="20">
        <v>106605.64613743093</v>
      </c>
      <c r="L294" s="20">
        <f t="shared" si="10"/>
        <v>689276.43734132417</v>
      </c>
    </row>
    <row r="295" spans="1:12">
      <c r="A295" s="23" t="s">
        <v>1098</v>
      </c>
      <c r="B295" s="19" t="s">
        <v>2266</v>
      </c>
      <c r="C295" s="19">
        <f>VLOOKUP(A295,'Distribution Detail'!$A$2:$F$558,5,FALSE)</f>
        <v>1</v>
      </c>
      <c r="D295" s="25">
        <v>314917.09000000003</v>
      </c>
      <c r="E295" s="19">
        <v>0.425623539</v>
      </c>
      <c r="F295" s="20">
        <v>204329.58</v>
      </c>
      <c r="G295" s="20">
        <f t="shared" si="11"/>
        <v>566765.42096013622</v>
      </c>
      <c r="H295" s="20">
        <v>0</v>
      </c>
      <c r="I295" s="20">
        <v>0</v>
      </c>
      <c r="J295" s="20">
        <v>0</v>
      </c>
      <c r="K295" s="20">
        <v>120158.62512576791</v>
      </c>
      <c r="L295" s="20">
        <f t="shared" si="10"/>
        <v>686924.04608590412</v>
      </c>
    </row>
    <row r="296" spans="1:12">
      <c r="A296" s="23" t="s">
        <v>1100</v>
      </c>
      <c r="B296" s="19" t="s">
        <v>2265</v>
      </c>
      <c r="C296" s="19">
        <f>VLOOKUP(A296,'Distribution Detail'!$A$2:$F$558,5,FALSE)</f>
        <v>1</v>
      </c>
      <c r="D296" s="25">
        <v>151730.25</v>
      </c>
      <c r="E296" s="19">
        <v>0.37679454400000001</v>
      </c>
      <c r="F296" s="20">
        <v>96676.38</v>
      </c>
      <c r="G296" s="20">
        <f t="shared" si="11"/>
        <v>302909.93394277361</v>
      </c>
      <c r="H296" s="20">
        <v>0</v>
      </c>
      <c r="I296" s="20">
        <v>0</v>
      </c>
      <c r="J296" s="20">
        <v>0</v>
      </c>
      <c r="K296" s="20">
        <v>59818.66602343032</v>
      </c>
      <c r="L296" s="20">
        <f t="shared" si="10"/>
        <v>362728.59996620391</v>
      </c>
    </row>
    <row r="297" spans="1:12">
      <c r="A297" s="23" t="s">
        <v>1101</v>
      </c>
      <c r="B297" s="19" t="s">
        <v>2264</v>
      </c>
      <c r="C297" s="19">
        <f>VLOOKUP(A297,'Distribution Detail'!$A$2:$F$558,5,FALSE)</f>
        <v>1</v>
      </c>
      <c r="D297" s="25">
        <v>544535.09</v>
      </c>
      <c r="E297" s="19">
        <v>0.46038820899999999</v>
      </c>
      <c r="F297" s="20">
        <v>359573.93</v>
      </c>
      <c r="G297" s="20">
        <f t="shared" si="11"/>
        <v>922065.44345382415</v>
      </c>
      <c r="H297" s="20">
        <v>0</v>
      </c>
      <c r="I297" s="20">
        <v>0</v>
      </c>
      <c r="J297" s="20">
        <v>0</v>
      </c>
      <c r="K297" s="20">
        <v>200969.15725172925</v>
      </c>
      <c r="L297" s="20">
        <f t="shared" si="10"/>
        <v>1123034.6007055533</v>
      </c>
    </row>
    <row r="298" spans="1:12">
      <c r="A298" s="23" t="s">
        <v>1102</v>
      </c>
      <c r="B298" s="19" t="s">
        <v>2263</v>
      </c>
      <c r="C298" s="19">
        <f>VLOOKUP(A298,'Distribution Detail'!$A$2:$F$558,5,FALSE)</f>
        <v>1</v>
      </c>
      <c r="D298" s="25">
        <v>330724.06</v>
      </c>
      <c r="E298" s="19">
        <v>0.214909351</v>
      </c>
      <c r="F298" s="20">
        <v>173874.52</v>
      </c>
      <c r="G298" s="20">
        <f t="shared" si="11"/>
        <v>821095.5097547255</v>
      </c>
      <c r="H298" s="20">
        <v>0</v>
      </c>
      <c r="I298" s="20">
        <v>1520.5803034945554</v>
      </c>
      <c r="J298" s="20">
        <v>0</v>
      </c>
      <c r="K298" s="20">
        <v>168903.95568623103</v>
      </c>
      <c r="L298" s="20">
        <f t="shared" si="10"/>
        <v>991520.04574445111</v>
      </c>
    </row>
    <row r="299" spans="1:12">
      <c r="A299" s="23" t="s">
        <v>1103</v>
      </c>
      <c r="B299" s="19" t="s">
        <v>2262</v>
      </c>
      <c r="C299" s="19">
        <f>VLOOKUP(A299,'Distribution Detail'!$A$2:$F$558,5,FALSE)</f>
        <v>1</v>
      </c>
      <c r="D299" s="25">
        <v>865488.16</v>
      </c>
      <c r="E299" s="19">
        <v>0.20080851499999999</v>
      </c>
      <c r="F299" s="20">
        <v>621873.69999999995</v>
      </c>
      <c r="G299" s="20">
        <f t="shared" si="11"/>
        <v>2936702.2994775614</v>
      </c>
      <c r="H299" s="20">
        <v>0</v>
      </c>
      <c r="I299" s="20">
        <v>0</v>
      </c>
      <c r="J299" s="20">
        <v>2534.3077494768272</v>
      </c>
      <c r="K299" s="20">
        <v>262164.46858029481</v>
      </c>
      <c r="L299" s="20">
        <f t="shared" si="10"/>
        <v>3201401.075807333</v>
      </c>
    </row>
    <row r="300" spans="1:12">
      <c r="A300" s="23" t="s">
        <v>1105</v>
      </c>
      <c r="B300" s="19" t="s">
        <v>2261</v>
      </c>
      <c r="C300" s="19">
        <f>VLOOKUP(A300,'Distribution Detail'!$A$2:$F$558,5,FALSE)</f>
        <v>1</v>
      </c>
      <c r="D300" s="25">
        <v>1055823.45</v>
      </c>
      <c r="E300" s="19">
        <v>0.105009678</v>
      </c>
      <c r="F300" s="20">
        <v>568823.81000000006</v>
      </c>
      <c r="G300" s="20">
        <f t="shared" si="11"/>
        <v>2686182.4046017504</v>
      </c>
      <c r="H300" s="20">
        <v>0</v>
      </c>
      <c r="I300" s="20">
        <v>0</v>
      </c>
      <c r="J300" s="20">
        <v>0</v>
      </c>
      <c r="K300" s="20">
        <v>529148.42896041274</v>
      </c>
      <c r="L300" s="20">
        <f t="shared" si="10"/>
        <v>3215330.8335621632</v>
      </c>
    </row>
    <row r="301" spans="1:12">
      <c r="A301" s="23" t="s">
        <v>1107</v>
      </c>
      <c r="B301" s="19" t="s">
        <v>2260</v>
      </c>
      <c r="C301" s="19">
        <f>VLOOKUP(A301,'Distribution Detail'!$A$2:$F$558,5,FALSE)</f>
        <v>1</v>
      </c>
      <c r="D301" s="25">
        <v>2946612.99</v>
      </c>
      <c r="E301" s="19">
        <v>0.34459849100000001</v>
      </c>
      <c r="F301" s="20">
        <v>2943347.58</v>
      </c>
      <c r="G301" s="20">
        <f t="shared" si="11"/>
        <v>10083839.425543208</v>
      </c>
      <c r="H301" s="20">
        <v>0</v>
      </c>
      <c r="I301" s="20">
        <v>0</v>
      </c>
      <c r="J301" s="20">
        <v>3548.0243299802464</v>
      </c>
      <c r="K301" s="20">
        <v>0</v>
      </c>
      <c r="L301" s="20">
        <f t="shared" si="10"/>
        <v>10087387.449873189</v>
      </c>
    </row>
    <row r="302" spans="1:12">
      <c r="A302" s="23" t="s">
        <v>1109</v>
      </c>
      <c r="B302" s="19" t="s">
        <v>2196</v>
      </c>
      <c r="C302" s="19">
        <f>VLOOKUP(A302,'Distribution Detail'!$A$2:$F$558,5,FALSE)</f>
        <v>1</v>
      </c>
      <c r="D302" s="25">
        <v>380013.55</v>
      </c>
      <c r="E302" s="19">
        <v>0.412478391</v>
      </c>
      <c r="F302" s="20">
        <v>272900.11</v>
      </c>
      <c r="G302" s="20">
        <f t="shared" si="11"/>
        <v>781088.51290068612</v>
      </c>
      <c r="H302" s="20">
        <v>0</v>
      </c>
      <c r="I302" s="20">
        <v>0</v>
      </c>
      <c r="J302" s="20">
        <v>0</v>
      </c>
      <c r="K302" s="20">
        <v>116383.88171405102</v>
      </c>
      <c r="L302" s="20">
        <f t="shared" si="10"/>
        <v>897472.39461473713</v>
      </c>
    </row>
    <row r="303" spans="1:12">
      <c r="A303" s="23" t="s">
        <v>1110</v>
      </c>
      <c r="B303" s="19" t="s">
        <v>2259</v>
      </c>
      <c r="C303" s="19">
        <f>VLOOKUP(A303,'Distribution Detail'!$A$2:$F$558,5,FALSE)</f>
        <v>1</v>
      </c>
      <c r="D303" s="25">
        <v>329763.81</v>
      </c>
      <c r="E303" s="19">
        <v>0.396484267</v>
      </c>
      <c r="F303" s="20">
        <v>220411.29</v>
      </c>
      <c r="G303" s="20">
        <f t="shared" si="11"/>
        <v>656304.85880072205</v>
      </c>
      <c r="H303" s="20">
        <v>0</v>
      </c>
      <c r="I303" s="20">
        <v>0</v>
      </c>
      <c r="J303" s="20">
        <v>0</v>
      </c>
      <c r="K303" s="20">
        <v>118816.74935296075</v>
      </c>
      <c r="L303" s="20">
        <f t="shared" si="10"/>
        <v>775121.60815368278</v>
      </c>
    </row>
    <row r="304" spans="1:12">
      <c r="A304" s="23" t="s">
        <v>1112</v>
      </c>
      <c r="B304" s="19" t="s">
        <v>2258</v>
      </c>
      <c r="C304" s="19">
        <f>VLOOKUP(A304,'Distribution Detail'!$A$2:$F$558,5,FALSE)</f>
        <v>1</v>
      </c>
      <c r="D304" s="25">
        <v>225403.05</v>
      </c>
      <c r="E304" s="19">
        <v>0.21754388</v>
      </c>
      <c r="F304" s="20">
        <v>177964.91</v>
      </c>
      <c r="G304" s="20">
        <f t="shared" si="11"/>
        <v>840411.74345098902</v>
      </c>
      <c r="H304" s="20">
        <v>0</v>
      </c>
      <c r="I304" s="20">
        <v>0</v>
      </c>
      <c r="J304" s="20">
        <v>0</v>
      </c>
      <c r="K304" s="20">
        <v>51543.810697281238</v>
      </c>
      <c r="L304" s="20">
        <f t="shared" si="10"/>
        <v>891955.55414827028</v>
      </c>
    </row>
    <row r="305" spans="1:12">
      <c r="A305" s="23" t="s">
        <v>1114</v>
      </c>
      <c r="B305" s="19" t="s">
        <v>2257</v>
      </c>
      <c r="C305" s="19">
        <f>VLOOKUP(A305,'Distribution Detail'!$A$2:$F$558,5,FALSE)</f>
        <v>1</v>
      </c>
      <c r="D305" s="25">
        <v>244196.53</v>
      </c>
      <c r="E305" s="19">
        <v>0.26974784200000002</v>
      </c>
      <c r="F305" s="20">
        <v>244196.53</v>
      </c>
      <c r="G305" s="20">
        <f t="shared" si="11"/>
        <v>1068757.6863786355</v>
      </c>
      <c r="H305" s="20">
        <v>0</v>
      </c>
      <c r="I305" s="20">
        <v>0</v>
      </c>
      <c r="J305" s="20">
        <v>0</v>
      </c>
      <c r="K305" s="20">
        <v>0</v>
      </c>
      <c r="L305" s="20">
        <f t="shared" si="10"/>
        <v>1068757.6863786355</v>
      </c>
    </row>
    <row r="306" spans="1:12">
      <c r="A306" s="23" t="s">
        <v>1116</v>
      </c>
      <c r="B306" s="19" t="s">
        <v>2256</v>
      </c>
      <c r="C306" s="19">
        <f>VLOOKUP(A306,'Distribution Detail'!$A$2:$F$558,5,FALSE)</f>
        <v>1</v>
      </c>
      <c r="D306" s="25">
        <v>775032.52</v>
      </c>
      <c r="E306" s="19">
        <v>0.57430958300000001</v>
      </c>
      <c r="F306" s="20">
        <v>582465.21</v>
      </c>
      <c r="G306" s="20">
        <f t="shared" si="11"/>
        <v>1197351.5183325799</v>
      </c>
      <c r="H306" s="20">
        <v>0</v>
      </c>
      <c r="I306" s="20">
        <v>0</v>
      </c>
      <c r="J306" s="20">
        <v>0</v>
      </c>
      <c r="K306" s="20">
        <v>209233.60344913762</v>
      </c>
      <c r="L306" s="20">
        <f t="shared" si="10"/>
        <v>1406585.1217817175</v>
      </c>
    </row>
    <row r="307" spans="1:12">
      <c r="A307" s="23" t="s">
        <v>1118</v>
      </c>
      <c r="B307" s="19" t="s">
        <v>2255</v>
      </c>
      <c r="C307" s="19">
        <f>VLOOKUP(A307,'Distribution Detail'!$A$2:$F$558,5,FALSE)</f>
        <v>1</v>
      </c>
      <c r="D307" s="25">
        <v>343690.02</v>
      </c>
      <c r="E307" s="19">
        <v>0.45437830800000001</v>
      </c>
      <c r="F307" s="20">
        <v>248196.07</v>
      </c>
      <c r="G307" s="20">
        <f t="shared" si="11"/>
        <v>644874.27441106981</v>
      </c>
      <c r="H307" s="20">
        <v>0</v>
      </c>
      <c r="I307" s="20">
        <v>0</v>
      </c>
      <c r="J307" s="20">
        <v>0</v>
      </c>
      <c r="K307" s="20">
        <v>103758.74942684598</v>
      </c>
      <c r="L307" s="20">
        <f t="shared" si="10"/>
        <v>748633.02383791585</v>
      </c>
    </row>
    <row r="308" spans="1:12">
      <c r="A308" s="23" t="s">
        <v>1120</v>
      </c>
      <c r="B308" s="19" t="s">
        <v>2254</v>
      </c>
      <c r="C308" s="19">
        <f>VLOOKUP(A308,'Distribution Detail'!$A$2:$F$558,5,FALSE)</f>
        <v>1</v>
      </c>
      <c r="D308" s="25">
        <v>604971.61</v>
      </c>
      <c r="E308" s="19">
        <v>0.34444990599999997</v>
      </c>
      <c r="F308" s="20">
        <v>501639.74</v>
      </c>
      <c r="G308" s="20">
        <f t="shared" si="11"/>
        <v>1719347.27734716</v>
      </c>
      <c r="H308" s="20">
        <v>0</v>
      </c>
      <c r="I308" s="20">
        <v>1013.7165805034194</v>
      </c>
      <c r="J308" s="20">
        <v>0</v>
      </c>
      <c r="K308" s="20">
        <v>111261.30824711575</v>
      </c>
      <c r="L308" s="20">
        <f t="shared" si="10"/>
        <v>1831622.3021747791</v>
      </c>
    </row>
    <row r="309" spans="1:12">
      <c r="A309" s="23" t="s">
        <v>1122</v>
      </c>
      <c r="B309" s="19" t="s">
        <v>2253</v>
      </c>
      <c r="C309" s="19">
        <f>VLOOKUP(A309,'Distribution Detail'!$A$2:$F$558,5,FALSE)</f>
        <v>1</v>
      </c>
      <c r="D309" s="25">
        <v>913481.18</v>
      </c>
      <c r="E309" s="19">
        <v>0.50342974699999998</v>
      </c>
      <c r="F309" s="20">
        <v>676709.89</v>
      </c>
      <c r="G309" s="20">
        <f t="shared" si="11"/>
        <v>1586943.2322370089</v>
      </c>
      <c r="H309" s="20">
        <v>0</v>
      </c>
      <c r="I309" s="20">
        <v>0</v>
      </c>
      <c r="J309" s="20">
        <v>0</v>
      </c>
      <c r="K309" s="20">
        <v>257263.34443785273</v>
      </c>
      <c r="L309" s="20">
        <f t="shared" si="10"/>
        <v>1844206.5766748616</v>
      </c>
    </row>
    <row r="310" spans="1:12">
      <c r="A310" s="23" t="s">
        <v>1124</v>
      </c>
      <c r="B310" s="19" t="s">
        <v>1125</v>
      </c>
      <c r="C310" s="19">
        <f>VLOOKUP(A310,'Distribution Detail'!$A$2:$F$558,5,FALSE)</f>
        <v>1</v>
      </c>
      <c r="D310" s="25">
        <v>346203.95</v>
      </c>
      <c r="E310" s="19">
        <v>0.48094429500000002</v>
      </c>
      <c r="F310" s="20">
        <v>271917.53999999998</v>
      </c>
      <c r="G310" s="20">
        <f t="shared" si="11"/>
        <v>667482.96565664117</v>
      </c>
      <c r="H310" s="20">
        <v>0</v>
      </c>
      <c r="I310" s="20">
        <v>0</v>
      </c>
      <c r="J310" s="20">
        <v>0</v>
      </c>
      <c r="K310" s="20">
        <v>80715.741688451963</v>
      </c>
      <c r="L310" s="20">
        <f t="shared" si="10"/>
        <v>748198.70734509313</v>
      </c>
    </row>
    <row r="311" spans="1:12">
      <c r="A311" s="23" t="s">
        <v>1126</v>
      </c>
      <c r="B311" s="19" t="s">
        <v>2252</v>
      </c>
      <c r="C311" s="19">
        <f>VLOOKUP(A311,'Distribution Detail'!$A$2:$F$558,5,FALSE)</f>
        <v>1</v>
      </c>
      <c r="D311" s="25">
        <v>2838660.77</v>
      </c>
      <c r="E311" s="19">
        <v>0.59670359299999998</v>
      </c>
      <c r="F311" s="20">
        <v>2838104.06</v>
      </c>
      <c r="G311" s="20">
        <f t="shared" si="11"/>
        <v>5615228.1136369426</v>
      </c>
      <c r="H311" s="20">
        <v>0</v>
      </c>
      <c r="I311" s="20">
        <v>0</v>
      </c>
      <c r="J311" s="20">
        <v>0</v>
      </c>
      <c r="K311" s="20">
        <v>0</v>
      </c>
      <c r="L311" s="20">
        <f t="shared" si="10"/>
        <v>5615228.1136369426</v>
      </c>
    </row>
    <row r="312" spans="1:12">
      <c r="A312" s="23" t="s">
        <v>1128</v>
      </c>
      <c r="B312" s="19" t="s">
        <v>2251</v>
      </c>
      <c r="C312" s="19">
        <f>VLOOKUP(A312,'Distribution Detail'!$A$2:$F$558,5,FALSE)</f>
        <v>1</v>
      </c>
      <c r="D312" s="25">
        <v>72995.460000000006</v>
      </c>
      <c r="E312" s="19">
        <v>0.19015210900000001</v>
      </c>
      <c r="F312" s="20">
        <v>48281.440000000002</v>
      </c>
      <c r="G312" s="20">
        <f t="shared" si="11"/>
        <v>228001.62777439845</v>
      </c>
      <c r="H312" s="20">
        <v>0</v>
      </c>
      <c r="I312" s="20">
        <v>0</v>
      </c>
      <c r="J312" s="20">
        <v>0</v>
      </c>
      <c r="K312" s="20">
        <v>26852.966167071951</v>
      </c>
      <c r="L312" s="20">
        <f t="shared" si="10"/>
        <v>254854.5939414704</v>
      </c>
    </row>
    <row r="313" spans="1:12">
      <c r="A313" s="23" t="s">
        <v>1130</v>
      </c>
      <c r="B313" s="19" t="s">
        <v>2250</v>
      </c>
      <c r="C313" s="19">
        <f>VLOOKUP(A313,'Distribution Detail'!$A$2:$F$558,5,FALSE)</f>
        <v>1</v>
      </c>
      <c r="D313" s="25">
        <v>1604876.93</v>
      </c>
      <c r="E313" s="19">
        <v>0.32261836199999999</v>
      </c>
      <c r="F313" s="20">
        <v>919647.45</v>
      </c>
      <c r="G313" s="20">
        <f t="shared" si="11"/>
        <v>3365348.394792031</v>
      </c>
      <c r="H313" s="20">
        <v>0</v>
      </c>
      <c r="I313" s="20">
        <v>0</v>
      </c>
      <c r="J313" s="20">
        <v>0</v>
      </c>
      <c r="K313" s="20">
        <v>744534.64240622544</v>
      </c>
      <c r="L313" s="20">
        <f t="shared" si="10"/>
        <v>4109883.0371982567</v>
      </c>
    </row>
    <row r="314" spans="1:12">
      <c r="A314" s="23" t="s">
        <v>1132</v>
      </c>
      <c r="B314" s="19" t="s">
        <v>2249</v>
      </c>
      <c r="C314" s="19">
        <f>VLOOKUP(A314,'Distribution Detail'!$A$2:$F$558,5,FALSE)</f>
        <v>1</v>
      </c>
      <c r="D314" s="25">
        <v>1253598.4099999999</v>
      </c>
      <c r="E314" s="19">
        <v>0.60092019600000002</v>
      </c>
      <c r="F314" s="20">
        <v>1252477.1200000001</v>
      </c>
      <c r="G314" s="20">
        <f t="shared" si="11"/>
        <v>2460655.0877751615</v>
      </c>
      <c r="H314" s="20">
        <v>0</v>
      </c>
      <c r="I314" s="20">
        <v>0</v>
      </c>
      <c r="J314" s="20">
        <v>0</v>
      </c>
      <c r="K314" s="20">
        <v>0</v>
      </c>
      <c r="L314" s="20">
        <f t="shared" si="10"/>
        <v>2460655.0877751615</v>
      </c>
    </row>
    <row r="315" spans="1:12">
      <c r="A315" s="23" t="s">
        <v>1134</v>
      </c>
      <c r="B315" s="19" t="s">
        <v>2248</v>
      </c>
      <c r="C315" s="19">
        <f>VLOOKUP(A315,'Distribution Detail'!$A$2:$F$558,5,FALSE)</f>
        <v>1</v>
      </c>
      <c r="D315" s="25">
        <v>1487872.06</v>
      </c>
      <c r="E315" s="19">
        <v>0.82331520499999999</v>
      </c>
      <c r="F315" s="20">
        <v>1487103.93</v>
      </c>
      <c r="G315" s="20">
        <f t="shared" si="11"/>
        <v>2132420.8833996896</v>
      </c>
      <c r="H315" s="20">
        <v>0</v>
      </c>
      <c r="I315" s="20">
        <v>0</v>
      </c>
      <c r="J315" s="20">
        <v>0</v>
      </c>
      <c r="K315" s="20">
        <v>0</v>
      </c>
      <c r="L315" s="20">
        <f t="shared" si="10"/>
        <v>2132420.8833996896</v>
      </c>
    </row>
    <row r="316" spans="1:12">
      <c r="A316" s="23" t="s">
        <v>1136</v>
      </c>
      <c r="B316" s="19" t="s">
        <v>2247</v>
      </c>
      <c r="C316" s="19">
        <f>VLOOKUP(A316,'Distribution Detail'!$A$2:$F$558,5,FALSE)</f>
        <v>1</v>
      </c>
      <c r="D316" s="25">
        <v>1003204.43</v>
      </c>
      <c r="E316" s="19">
        <v>0.31066063999999999</v>
      </c>
      <c r="F316" s="20">
        <v>1000522.48</v>
      </c>
      <c r="G316" s="20">
        <f t="shared" si="11"/>
        <v>3802229.7890035962</v>
      </c>
      <c r="H316" s="20">
        <v>709.60269290027884</v>
      </c>
      <c r="I316" s="20">
        <v>0</v>
      </c>
      <c r="J316" s="20">
        <v>0</v>
      </c>
      <c r="K316" s="20">
        <v>0</v>
      </c>
      <c r="L316" s="20">
        <f t="shared" si="10"/>
        <v>3802939.3916964964</v>
      </c>
    </row>
    <row r="317" spans="1:12">
      <c r="A317" s="23" t="s">
        <v>1138</v>
      </c>
      <c r="B317" s="19" t="s">
        <v>2246</v>
      </c>
      <c r="C317" s="19">
        <f>VLOOKUP(A317,'Distribution Detail'!$A$2:$F$558,5,FALSE)</f>
        <v>1</v>
      </c>
      <c r="D317" s="25">
        <v>2276973.38</v>
      </c>
      <c r="E317" s="19">
        <v>0.61289611300000002</v>
      </c>
      <c r="F317" s="20">
        <v>2276401.56</v>
      </c>
      <c r="G317" s="20">
        <f t="shared" si="11"/>
        <v>4384900.5628215652</v>
      </c>
      <c r="H317" s="20">
        <v>0</v>
      </c>
      <c r="I317" s="20">
        <v>0</v>
      </c>
      <c r="J317" s="20">
        <v>0</v>
      </c>
      <c r="K317" s="20">
        <v>0</v>
      </c>
      <c r="L317" s="20">
        <f t="shared" si="10"/>
        <v>4384900.5628215652</v>
      </c>
    </row>
    <row r="318" spans="1:12">
      <c r="A318" s="23" t="s">
        <v>1140</v>
      </c>
      <c r="B318" s="19" t="s">
        <v>2245</v>
      </c>
      <c r="C318" s="19" t="e">
        <f>VLOOKUP(A318,'Distribution Detail'!$A$2:$F$558,5,FALSE)</f>
        <v>#N/A</v>
      </c>
      <c r="D318" s="25">
        <v>677737.65</v>
      </c>
      <c r="E318" s="19">
        <v>0.30017630899999997</v>
      </c>
      <c r="F318" s="20">
        <v>677737.65</v>
      </c>
      <c r="G318" s="20">
        <f t="shared" si="11"/>
        <v>2665526.1101610311</v>
      </c>
      <c r="H318" s="20">
        <v>0</v>
      </c>
      <c r="I318" s="20">
        <v>0</v>
      </c>
      <c r="J318" s="20">
        <v>0</v>
      </c>
      <c r="K318" s="20">
        <v>0</v>
      </c>
      <c r="L318" s="20">
        <f t="shared" si="10"/>
        <v>2665526.1101610311</v>
      </c>
    </row>
    <row r="319" spans="1:12">
      <c r="A319" s="23" t="s">
        <v>1142</v>
      </c>
      <c r="B319" s="19" t="s">
        <v>2244</v>
      </c>
      <c r="C319" s="19" t="e">
        <f>VLOOKUP(A319,'Distribution Detail'!$A$2:$F$558,5,FALSE)</f>
        <v>#N/A</v>
      </c>
      <c r="D319" s="25">
        <v>2812666.51</v>
      </c>
      <c r="E319" s="19">
        <v>0.66136921299999996</v>
      </c>
      <c r="F319" s="20">
        <v>2806301.07</v>
      </c>
      <c r="G319" s="20">
        <f t="shared" si="11"/>
        <v>5009426.7336388063</v>
      </c>
      <c r="H319" s="20">
        <v>0</v>
      </c>
      <c r="I319" s="20">
        <v>0</v>
      </c>
      <c r="J319" s="20">
        <v>5575.4683564659372</v>
      </c>
      <c r="K319" s="20">
        <v>0</v>
      </c>
      <c r="L319" s="20">
        <f t="shared" si="10"/>
        <v>5015002.2019952722</v>
      </c>
    </row>
    <row r="320" spans="1:12">
      <c r="A320" s="23" t="s">
        <v>1144</v>
      </c>
      <c r="B320" s="19" t="s">
        <v>2243</v>
      </c>
      <c r="C320" s="19" t="e">
        <f>VLOOKUP(A320,'Distribution Detail'!$A$2:$F$558,5,FALSE)</f>
        <v>#N/A</v>
      </c>
      <c r="D320" s="25">
        <v>3033766.94</v>
      </c>
      <c r="E320" s="19">
        <v>0.42445037400000002</v>
      </c>
      <c r="F320" s="20">
        <v>3033766.94</v>
      </c>
      <c r="G320" s="20">
        <f t="shared" si="11"/>
        <v>8438262.5796137247</v>
      </c>
      <c r="H320" s="20">
        <v>0</v>
      </c>
      <c r="I320" s="20">
        <v>0</v>
      </c>
      <c r="J320" s="20">
        <v>0</v>
      </c>
      <c r="K320" s="20">
        <v>0</v>
      </c>
      <c r="L320" s="20">
        <f t="shared" si="10"/>
        <v>8438262.5796137247</v>
      </c>
    </row>
    <row r="321" spans="1:12">
      <c r="A321" s="23" t="s">
        <v>1146</v>
      </c>
      <c r="B321" s="19" t="s">
        <v>2242</v>
      </c>
      <c r="C321" s="19">
        <f>VLOOKUP(A321,'Distribution Detail'!$A$2:$F$558,5,FALSE)</f>
        <v>1</v>
      </c>
      <c r="D321" s="25">
        <v>2033989.92</v>
      </c>
      <c r="E321" s="19">
        <v>0.26516065</v>
      </c>
      <c r="F321" s="20">
        <v>2029325.05</v>
      </c>
      <c r="G321" s="20">
        <f t="shared" si="11"/>
        <v>9035252.2758223154</v>
      </c>
      <c r="H321" s="20">
        <v>0</v>
      </c>
      <c r="I321" s="20">
        <v>0</v>
      </c>
      <c r="J321" s="20">
        <v>5068.6046334748016</v>
      </c>
      <c r="K321" s="20">
        <v>0</v>
      </c>
      <c r="L321" s="20">
        <f t="shared" si="10"/>
        <v>9040320.8804557901</v>
      </c>
    </row>
    <row r="322" spans="1:12">
      <c r="A322" s="23" t="s">
        <v>1148</v>
      </c>
      <c r="B322" s="19" t="s">
        <v>2241</v>
      </c>
      <c r="C322" s="19" t="e">
        <f>VLOOKUP(A322,'Distribution Detail'!$A$2:$F$558,5,FALSE)</f>
        <v>#N/A</v>
      </c>
      <c r="D322" s="25">
        <v>232977.72</v>
      </c>
      <c r="E322" s="19">
        <v>0.39931769</v>
      </c>
      <c r="F322" s="20">
        <v>159160.09</v>
      </c>
      <c r="G322" s="20">
        <f t="shared" si="11"/>
        <v>470558.22361933597</v>
      </c>
      <c r="H322" s="20">
        <v>0</v>
      </c>
      <c r="I322" s="20">
        <v>0</v>
      </c>
      <c r="J322" s="20">
        <v>0</v>
      </c>
      <c r="K322" s="20">
        <v>80206.389770803595</v>
      </c>
      <c r="L322" s="20">
        <f t="shared" ref="L322:L385" si="12">SUM(G322:K322)</f>
        <v>550764.61339013954</v>
      </c>
    </row>
    <row r="323" spans="1:12">
      <c r="A323" s="23" t="s">
        <v>1150</v>
      </c>
      <c r="B323" s="19" t="s">
        <v>2240</v>
      </c>
      <c r="C323" s="19" t="e">
        <f>VLOOKUP(A323,'Distribution Detail'!$A$2:$F$558,5,FALSE)</f>
        <v>#N/A</v>
      </c>
      <c r="D323" s="25">
        <v>624879.78</v>
      </c>
      <c r="E323" s="19">
        <v>0.33201229599999998</v>
      </c>
      <c r="F323" s="20">
        <v>372355.37</v>
      </c>
      <c r="G323" s="20">
        <f t="shared" ref="G323:G386" si="13">(F323/(IF(E323&lt;0.25,0.25,E323))/0.920346)/0.920346</f>
        <v>1324040.2733142732</v>
      </c>
      <c r="H323" s="20">
        <v>0</v>
      </c>
      <c r="I323" s="20">
        <v>0</v>
      </c>
      <c r="J323" s="20">
        <v>0</v>
      </c>
      <c r="K323" s="20">
        <v>274379.86365997134</v>
      </c>
      <c r="L323" s="20">
        <f t="shared" si="12"/>
        <v>1598420.1369742446</v>
      </c>
    </row>
    <row r="324" spans="1:12">
      <c r="A324" s="23" t="s">
        <v>1152</v>
      </c>
      <c r="B324" s="19" t="s">
        <v>2239</v>
      </c>
      <c r="C324" s="19" t="e">
        <f>VLOOKUP(A324,'Distribution Detail'!$A$2:$F$558,5,FALSE)</f>
        <v>#N/A</v>
      </c>
      <c r="D324" s="25">
        <v>155241.37</v>
      </c>
      <c r="E324" s="19">
        <v>0.48817866900000001</v>
      </c>
      <c r="F324" s="20">
        <v>104772.93</v>
      </c>
      <c r="G324" s="20">
        <f t="shared" si="13"/>
        <v>253377.49138017991</v>
      </c>
      <c r="H324" s="20">
        <v>0</v>
      </c>
      <c r="I324" s="20">
        <v>0</v>
      </c>
      <c r="J324" s="20">
        <v>0</v>
      </c>
      <c r="K324" s="20">
        <v>54836.376753959928</v>
      </c>
      <c r="L324" s="20">
        <f t="shared" si="12"/>
        <v>308213.86813413986</v>
      </c>
    </row>
    <row r="325" spans="1:12">
      <c r="A325" s="23" t="s">
        <v>1154</v>
      </c>
      <c r="B325" s="19" t="s">
        <v>2238</v>
      </c>
      <c r="C325" s="19" t="e">
        <f>VLOOKUP(A325,'Distribution Detail'!$A$2:$F$558,5,FALSE)</f>
        <v>#N/A</v>
      </c>
      <c r="D325" s="25">
        <v>116102.31</v>
      </c>
      <c r="E325" s="19">
        <v>0.39909840499999999</v>
      </c>
      <c r="F325" s="20">
        <v>73740.17</v>
      </c>
      <c r="G325" s="20">
        <f t="shared" si="13"/>
        <v>218133.25706930939</v>
      </c>
      <c r="H325" s="20">
        <v>0</v>
      </c>
      <c r="I325" s="20">
        <v>0</v>
      </c>
      <c r="J325" s="20">
        <v>1013.7165805034194</v>
      </c>
      <c r="K325" s="20">
        <v>45014.77705123942</v>
      </c>
      <c r="L325" s="20">
        <f t="shared" si="12"/>
        <v>264161.75070105225</v>
      </c>
    </row>
    <row r="326" spans="1:12">
      <c r="A326" s="23" t="s">
        <v>1156</v>
      </c>
      <c r="B326" s="19" t="s">
        <v>2237</v>
      </c>
      <c r="C326" s="19" t="e">
        <f>VLOOKUP(A326,'Distribution Detail'!$A$2:$F$558,5,FALSE)</f>
        <v>#N/A</v>
      </c>
      <c r="D326" s="25">
        <v>350357.64</v>
      </c>
      <c r="E326" s="19">
        <v>0.50119367100000001</v>
      </c>
      <c r="F326" s="20">
        <v>260019.07</v>
      </c>
      <c r="G326" s="20">
        <f t="shared" si="13"/>
        <v>612487.68958745187</v>
      </c>
      <c r="H326" s="20">
        <v>0</v>
      </c>
      <c r="I326" s="20">
        <v>0</v>
      </c>
      <c r="J326" s="20">
        <v>0</v>
      </c>
      <c r="K326" s="20">
        <v>98157.182190176318</v>
      </c>
      <c r="L326" s="20">
        <f t="shared" si="12"/>
        <v>710644.8717776282</v>
      </c>
    </row>
    <row r="327" spans="1:12">
      <c r="A327" s="23" t="s">
        <v>1158</v>
      </c>
      <c r="B327" s="19" t="s">
        <v>2236</v>
      </c>
      <c r="C327" s="19" t="e">
        <f>VLOOKUP(A327,'Distribution Detail'!$A$2:$F$558,5,FALSE)</f>
        <v>#N/A</v>
      </c>
      <c r="D327" s="25">
        <v>369920.77</v>
      </c>
      <c r="E327" s="19">
        <v>0.481124687</v>
      </c>
      <c r="F327" s="20">
        <v>308827.46000000002</v>
      </c>
      <c r="G327" s="20">
        <f t="shared" si="13"/>
        <v>757802.45814883325</v>
      </c>
      <c r="H327" s="20">
        <v>0</v>
      </c>
      <c r="I327" s="20">
        <v>0</v>
      </c>
      <c r="J327" s="20">
        <v>0</v>
      </c>
      <c r="K327" s="20">
        <v>66380.806783535751</v>
      </c>
      <c r="L327" s="20">
        <f t="shared" si="12"/>
        <v>824183.264932369</v>
      </c>
    </row>
    <row r="328" spans="1:12">
      <c r="A328" s="23" t="s">
        <v>1160</v>
      </c>
      <c r="B328" s="19" t="s">
        <v>2235</v>
      </c>
      <c r="C328" s="19" t="e">
        <f>VLOOKUP(A328,'Distribution Detail'!$A$2:$F$558,5,FALSE)</f>
        <v>#N/A</v>
      </c>
      <c r="D328" s="25">
        <v>569474.23</v>
      </c>
      <c r="E328" s="19">
        <v>0.206460755</v>
      </c>
      <c r="F328" s="20">
        <v>308012.05</v>
      </c>
      <c r="G328" s="20">
        <f t="shared" si="13"/>
        <v>1454539.2344165666</v>
      </c>
      <c r="H328" s="20">
        <v>0</v>
      </c>
      <c r="I328" s="20">
        <v>0</v>
      </c>
      <c r="J328" s="20">
        <v>0</v>
      </c>
      <c r="K328" s="20">
        <v>284091.1787523388</v>
      </c>
      <c r="L328" s="20">
        <f t="shared" si="12"/>
        <v>1738630.4131689053</v>
      </c>
    </row>
    <row r="329" spans="1:12">
      <c r="A329" s="23" t="s">
        <v>1162</v>
      </c>
      <c r="B329" s="19" t="s">
        <v>2234</v>
      </c>
      <c r="C329" s="19" t="e">
        <f>VLOOKUP(A329,'Distribution Detail'!$A$2:$F$558,5,FALSE)</f>
        <v>#N/A</v>
      </c>
      <c r="D329" s="25">
        <v>357957.28</v>
      </c>
      <c r="E329" s="19">
        <v>0.15458482000000001</v>
      </c>
      <c r="F329" s="20">
        <v>197272.94</v>
      </c>
      <c r="G329" s="20">
        <f t="shared" si="13"/>
        <v>931590.92677934282</v>
      </c>
      <c r="H329" s="20">
        <v>0</v>
      </c>
      <c r="I329" s="20">
        <v>0</v>
      </c>
      <c r="J329" s="20">
        <v>0</v>
      </c>
      <c r="K329" s="20">
        <v>174591.22982008939</v>
      </c>
      <c r="L329" s="20">
        <f t="shared" si="12"/>
        <v>1106182.1565994322</v>
      </c>
    </row>
    <row r="330" spans="1:12">
      <c r="A330" s="23" t="s">
        <v>1164</v>
      </c>
      <c r="B330" s="19" t="s">
        <v>2233</v>
      </c>
      <c r="C330" s="19" t="e">
        <f>VLOOKUP(A330,'Distribution Detail'!$A$2:$F$558,5,FALSE)</f>
        <v>#N/A</v>
      </c>
      <c r="D330" s="25">
        <v>578480.73</v>
      </c>
      <c r="E330" s="19">
        <v>0.22155409000000001</v>
      </c>
      <c r="F330" s="20">
        <v>461312.08</v>
      </c>
      <c r="G330" s="20">
        <f t="shared" si="13"/>
        <v>2178474.8995057628</v>
      </c>
      <c r="H330" s="20">
        <v>0</v>
      </c>
      <c r="I330" s="20">
        <v>0</v>
      </c>
      <c r="J330" s="20">
        <v>0</v>
      </c>
      <c r="K330" s="20">
        <v>127309.34887531427</v>
      </c>
      <c r="L330" s="20">
        <f t="shared" si="12"/>
        <v>2305784.2483810773</v>
      </c>
    </row>
    <row r="331" spans="1:12">
      <c r="A331" s="23" t="s">
        <v>1166</v>
      </c>
      <c r="B331" s="19" t="s">
        <v>2232</v>
      </c>
      <c r="C331" s="19" t="e">
        <f>VLOOKUP(A331,'Distribution Detail'!$A$2:$F$558,5,FALSE)</f>
        <v>#N/A</v>
      </c>
      <c r="D331" s="25">
        <v>462987.31</v>
      </c>
      <c r="E331" s="19">
        <v>0.05</v>
      </c>
      <c r="F331" s="20">
        <v>459723.25</v>
      </c>
      <c r="G331" s="20">
        <f t="shared" si="13"/>
        <v>2170971.8957375074</v>
      </c>
      <c r="H331" s="20">
        <v>0</v>
      </c>
      <c r="I331" s="20">
        <v>0</v>
      </c>
      <c r="J331" s="20">
        <v>0</v>
      </c>
      <c r="K331" s="20">
        <v>3546.5574903351567</v>
      </c>
      <c r="L331" s="20">
        <f t="shared" si="12"/>
        <v>2174518.4532278427</v>
      </c>
    </row>
    <row r="332" spans="1:12">
      <c r="A332" s="23" t="s">
        <v>1168</v>
      </c>
      <c r="B332" s="19" t="s">
        <v>2231</v>
      </c>
      <c r="C332" s="19" t="e">
        <f>VLOOKUP(A332,'Distribution Detail'!$A$2:$F$558,5,FALSE)</f>
        <v>#N/A</v>
      </c>
      <c r="D332" s="25">
        <v>143372.29999999999</v>
      </c>
      <c r="E332" s="19">
        <v>0.05</v>
      </c>
      <c r="F332" s="20">
        <v>81692.78</v>
      </c>
      <c r="G332" s="20">
        <f t="shared" si="13"/>
        <v>385781.50977716944</v>
      </c>
      <c r="H332" s="20">
        <v>0</v>
      </c>
      <c r="I332" s="20">
        <v>0</v>
      </c>
      <c r="J332" s="20">
        <v>0</v>
      </c>
      <c r="K332" s="20">
        <v>67017.752019349238</v>
      </c>
      <c r="L332" s="20">
        <f t="shared" si="12"/>
        <v>452799.26179651869</v>
      </c>
    </row>
    <row r="333" spans="1:12">
      <c r="A333" s="23" t="s">
        <v>1169</v>
      </c>
      <c r="B333" s="19" t="s">
        <v>2230</v>
      </c>
      <c r="C333" s="19" t="e">
        <f>VLOOKUP(A333,'Distribution Detail'!$A$2:$F$558,5,FALSE)</f>
        <v>#N/A</v>
      </c>
      <c r="D333" s="25">
        <v>343412.02</v>
      </c>
      <c r="E333" s="19">
        <v>0.05</v>
      </c>
      <c r="F333" s="20">
        <v>271502.43</v>
      </c>
      <c r="G333" s="20">
        <f t="shared" si="13"/>
        <v>1282128.204641466</v>
      </c>
      <c r="H333" s="20">
        <v>0</v>
      </c>
      <c r="I333" s="20">
        <v>0</v>
      </c>
      <c r="J333" s="20">
        <v>0</v>
      </c>
      <c r="K333" s="20">
        <v>78133.212943827646</v>
      </c>
      <c r="L333" s="20">
        <f t="shared" si="12"/>
        <v>1360261.4175852938</v>
      </c>
    </row>
    <row r="334" spans="1:12">
      <c r="A334" s="23" t="s">
        <v>1171</v>
      </c>
      <c r="B334" s="19" t="s">
        <v>2229</v>
      </c>
      <c r="C334" s="19" t="e">
        <f>VLOOKUP(A334,'Distribution Detail'!$A$2:$F$558,5,FALSE)</f>
        <v>#N/A</v>
      </c>
      <c r="D334" s="25">
        <v>1195140.5</v>
      </c>
      <c r="E334" s="19">
        <v>0.214007322</v>
      </c>
      <c r="F334" s="20">
        <v>1195140.5</v>
      </c>
      <c r="G334" s="20">
        <f t="shared" si="13"/>
        <v>5643866.0367028909</v>
      </c>
      <c r="H334" s="20">
        <v>0</v>
      </c>
      <c r="I334" s="20">
        <v>0</v>
      </c>
      <c r="J334" s="20">
        <v>0</v>
      </c>
      <c r="K334" s="20">
        <v>0</v>
      </c>
      <c r="L334" s="20">
        <f t="shared" si="12"/>
        <v>5643866.0367028909</v>
      </c>
    </row>
    <row r="335" spans="1:12">
      <c r="A335" s="23" t="s">
        <v>1173</v>
      </c>
      <c r="B335" s="19" t="s">
        <v>2228</v>
      </c>
      <c r="C335" s="19" t="e">
        <f>VLOOKUP(A335,'Distribution Detail'!$A$2:$F$558,5,FALSE)</f>
        <v>#N/A</v>
      </c>
      <c r="D335" s="25">
        <v>113521.26</v>
      </c>
      <c r="E335" s="19">
        <v>0.35643743300000003</v>
      </c>
      <c r="F335" s="20">
        <v>70746.84</v>
      </c>
      <c r="G335" s="20">
        <f t="shared" si="13"/>
        <v>234326.54045527216</v>
      </c>
      <c r="H335" s="20">
        <v>0</v>
      </c>
      <c r="I335" s="20">
        <v>0</v>
      </c>
      <c r="J335" s="20">
        <v>0</v>
      </c>
      <c r="K335" s="20">
        <v>46476.455593874474</v>
      </c>
      <c r="L335" s="20">
        <f t="shared" si="12"/>
        <v>280802.99604914663</v>
      </c>
    </row>
    <row r="336" spans="1:12">
      <c r="A336" s="23" t="s">
        <v>1175</v>
      </c>
      <c r="B336" s="19" t="s">
        <v>2227</v>
      </c>
      <c r="C336" s="19" t="e">
        <f>VLOOKUP(A336,'Distribution Detail'!$A$2:$F$558,5,FALSE)</f>
        <v>#N/A</v>
      </c>
      <c r="D336" s="25">
        <v>497806.4</v>
      </c>
      <c r="E336" s="19">
        <v>0.37010958599999999</v>
      </c>
      <c r="F336" s="20">
        <v>316537.27</v>
      </c>
      <c r="G336" s="20">
        <f t="shared" si="13"/>
        <v>1009699.777405489</v>
      </c>
      <c r="H336" s="20">
        <v>0</v>
      </c>
      <c r="I336" s="20">
        <v>0</v>
      </c>
      <c r="J336" s="20">
        <v>0</v>
      </c>
      <c r="K336" s="20">
        <v>196957.58986294284</v>
      </c>
      <c r="L336" s="20">
        <f t="shared" si="12"/>
        <v>1206657.3672684319</v>
      </c>
    </row>
    <row r="337" spans="1:12">
      <c r="A337" s="23" t="s">
        <v>1177</v>
      </c>
      <c r="B337" s="19" t="s">
        <v>2226</v>
      </c>
      <c r="C337" s="19" t="e">
        <f>VLOOKUP(A337,'Distribution Detail'!$A$2:$F$558,5,FALSE)</f>
        <v>#N/A</v>
      </c>
      <c r="D337" s="25">
        <v>431310.17</v>
      </c>
      <c r="E337" s="19">
        <v>0.27782194599999999</v>
      </c>
      <c r="F337" s="20">
        <v>431310.17</v>
      </c>
      <c r="G337" s="20">
        <f t="shared" si="13"/>
        <v>1832824.5413277622</v>
      </c>
      <c r="H337" s="20">
        <v>0</v>
      </c>
      <c r="I337" s="20">
        <v>0</v>
      </c>
      <c r="J337" s="20">
        <v>0</v>
      </c>
      <c r="K337" s="20">
        <v>0</v>
      </c>
      <c r="L337" s="20">
        <f t="shared" si="12"/>
        <v>1832824.5413277622</v>
      </c>
    </row>
    <row r="338" spans="1:12">
      <c r="A338" s="23" t="s">
        <v>1178</v>
      </c>
      <c r="B338" s="19" t="s">
        <v>2225</v>
      </c>
      <c r="C338" s="19" t="e">
        <f>VLOOKUP(A338,'Distribution Detail'!$A$2:$F$558,5,FALSE)</f>
        <v>#N/A</v>
      </c>
      <c r="D338" s="25">
        <v>610213.62</v>
      </c>
      <c r="E338" s="19">
        <v>0.46683572299999998</v>
      </c>
      <c r="F338" s="20">
        <v>426382.29</v>
      </c>
      <c r="G338" s="20">
        <f t="shared" si="13"/>
        <v>1078283.1482199293</v>
      </c>
      <c r="H338" s="20">
        <v>0</v>
      </c>
      <c r="I338" s="20">
        <v>0</v>
      </c>
      <c r="J338" s="20">
        <v>0</v>
      </c>
      <c r="K338" s="20">
        <v>199741.54285453513</v>
      </c>
      <c r="L338" s="20">
        <f t="shared" si="12"/>
        <v>1278024.6910744645</v>
      </c>
    </row>
    <row r="339" spans="1:12">
      <c r="A339" s="23" t="s">
        <v>1180</v>
      </c>
      <c r="B339" s="19" t="s">
        <v>2224</v>
      </c>
      <c r="C339" s="19" t="e">
        <f>VLOOKUP(A339,'Distribution Detail'!$A$2:$F$558,5,FALSE)</f>
        <v>#N/A</v>
      </c>
      <c r="D339" s="25">
        <v>256370.35</v>
      </c>
      <c r="E339" s="19">
        <v>0.56079209500000005</v>
      </c>
      <c r="F339" s="20">
        <v>256370.35</v>
      </c>
      <c r="G339" s="20">
        <f t="shared" si="13"/>
        <v>539713.96425758488</v>
      </c>
      <c r="H339" s="20">
        <v>0</v>
      </c>
      <c r="I339" s="20">
        <v>0</v>
      </c>
      <c r="J339" s="20">
        <v>0</v>
      </c>
      <c r="K339" s="20">
        <v>0</v>
      </c>
      <c r="L339" s="20">
        <f t="shared" si="12"/>
        <v>539713.96425758488</v>
      </c>
    </row>
    <row r="340" spans="1:12">
      <c r="A340" s="23" t="s">
        <v>1182</v>
      </c>
      <c r="B340" s="19" t="s">
        <v>2223</v>
      </c>
      <c r="C340" s="19" t="e">
        <f>VLOOKUP(A340,'Distribution Detail'!$A$2:$F$558,5,FALSE)</f>
        <v>#N/A</v>
      </c>
      <c r="D340" s="25">
        <v>1173226.6100000001</v>
      </c>
      <c r="E340" s="19">
        <v>0.33785916500000002</v>
      </c>
      <c r="F340" s="20">
        <v>1173226.6100000001</v>
      </c>
      <c r="G340" s="20">
        <f t="shared" si="13"/>
        <v>4099623.1986479275</v>
      </c>
      <c r="H340" s="20">
        <v>0</v>
      </c>
      <c r="I340" s="20">
        <v>0</v>
      </c>
      <c r="J340" s="20">
        <v>0</v>
      </c>
      <c r="K340" s="20">
        <v>0</v>
      </c>
      <c r="L340" s="20">
        <f t="shared" si="12"/>
        <v>4099623.1986479275</v>
      </c>
    </row>
    <row r="341" spans="1:12">
      <c r="A341" s="23" t="s">
        <v>1184</v>
      </c>
      <c r="B341" s="19" t="s">
        <v>2048</v>
      </c>
      <c r="C341" s="19" t="e">
        <f>VLOOKUP(A341,'Distribution Detail'!$A$2:$F$558,5,FALSE)</f>
        <v>#N/A</v>
      </c>
      <c r="D341" s="25">
        <v>1803180.01</v>
      </c>
      <c r="E341" s="19">
        <v>0.411830682</v>
      </c>
      <c r="F341" s="20">
        <v>1803180.01</v>
      </c>
      <c r="G341" s="20">
        <f t="shared" si="13"/>
        <v>5169138.002115719</v>
      </c>
      <c r="H341" s="20">
        <v>0</v>
      </c>
      <c r="I341" s="20">
        <v>0</v>
      </c>
      <c r="J341" s="20">
        <v>0</v>
      </c>
      <c r="K341" s="20">
        <v>0</v>
      </c>
      <c r="L341" s="20">
        <f t="shared" si="12"/>
        <v>5169138.002115719</v>
      </c>
    </row>
    <row r="342" spans="1:12">
      <c r="A342" s="23" t="s">
        <v>1186</v>
      </c>
      <c r="B342" s="19" t="s">
        <v>2222</v>
      </c>
      <c r="C342" s="19" t="e">
        <f>VLOOKUP(A342,'Distribution Detail'!$A$2:$F$558,5,FALSE)</f>
        <v>#N/A</v>
      </c>
      <c r="D342" s="25">
        <v>805161.41</v>
      </c>
      <c r="E342" s="19">
        <v>0.48212548999999999</v>
      </c>
      <c r="F342" s="20">
        <v>805161.41</v>
      </c>
      <c r="G342" s="20">
        <f t="shared" si="13"/>
        <v>1971608.1295074152</v>
      </c>
      <c r="H342" s="20">
        <v>0</v>
      </c>
      <c r="I342" s="20">
        <v>0</v>
      </c>
      <c r="J342" s="20">
        <v>0</v>
      </c>
      <c r="K342" s="20">
        <v>0</v>
      </c>
      <c r="L342" s="20">
        <f t="shared" si="12"/>
        <v>1971608.1295074152</v>
      </c>
    </row>
    <row r="343" spans="1:12">
      <c r="A343" s="23" t="s">
        <v>1187</v>
      </c>
      <c r="B343" s="19" t="s">
        <v>2221</v>
      </c>
      <c r="C343" s="19" t="e">
        <f>VLOOKUP(A343,'Distribution Detail'!$A$2:$F$558,5,FALSE)</f>
        <v>#N/A</v>
      </c>
      <c r="D343" s="25">
        <v>754392.2</v>
      </c>
      <c r="E343" s="19">
        <v>0.45027300100000001</v>
      </c>
      <c r="F343" s="20">
        <v>751126.79</v>
      </c>
      <c r="G343" s="20">
        <f t="shared" si="13"/>
        <v>1969405.2299035247</v>
      </c>
      <c r="H343" s="20">
        <v>0</v>
      </c>
      <c r="I343" s="20">
        <v>0</v>
      </c>
      <c r="J343" s="20">
        <v>3548.0243299802464</v>
      </c>
      <c r="K343" s="20">
        <v>0</v>
      </c>
      <c r="L343" s="20">
        <f t="shared" si="12"/>
        <v>1972953.2542335049</v>
      </c>
    </row>
    <row r="344" spans="1:12">
      <c r="A344" s="23" t="s">
        <v>1189</v>
      </c>
      <c r="B344" s="19" t="s">
        <v>2220</v>
      </c>
      <c r="C344" s="19" t="e">
        <f>VLOOKUP(A344,'Distribution Detail'!$A$2:$F$558,5,FALSE)</f>
        <v>#N/A</v>
      </c>
      <c r="D344" s="25">
        <v>390168.09</v>
      </c>
      <c r="E344" s="19">
        <v>0.330069422</v>
      </c>
      <c r="F344" s="20">
        <v>390168.09</v>
      </c>
      <c r="G344" s="20">
        <f t="shared" si="13"/>
        <v>1395546.1298713989</v>
      </c>
      <c r="H344" s="20">
        <v>0</v>
      </c>
      <c r="I344" s="20">
        <v>0</v>
      </c>
      <c r="J344" s="20">
        <v>0</v>
      </c>
      <c r="K344" s="20">
        <v>0</v>
      </c>
      <c r="L344" s="20">
        <f t="shared" si="12"/>
        <v>1395546.1298713989</v>
      </c>
    </row>
    <row r="345" spans="1:12">
      <c r="A345" s="23" t="s">
        <v>1190</v>
      </c>
      <c r="B345" s="19" t="s">
        <v>2219</v>
      </c>
      <c r="C345" s="19" t="e">
        <f>VLOOKUP(A345,'Distribution Detail'!$A$2:$F$558,5,FALSE)</f>
        <v>#N/A</v>
      </c>
      <c r="D345" s="25">
        <v>142093.82</v>
      </c>
      <c r="E345" s="19">
        <v>0.23422338000000001</v>
      </c>
      <c r="F345" s="20">
        <v>73422.649999999994</v>
      </c>
      <c r="G345" s="20">
        <f t="shared" si="13"/>
        <v>346727.1008385403</v>
      </c>
      <c r="H345" s="20">
        <v>0</v>
      </c>
      <c r="I345" s="20">
        <v>0</v>
      </c>
      <c r="J345" s="20">
        <v>0</v>
      </c>
      <c r="K345" s="20">
        <v>74614.514541270342</v>
      </c>
      <c r="L345" s="20">
        <f t="shared" si="12"/>
        <v>421341.61537981062</v>
      </c>
    </row>
    <row r="346" spans="1:12">
      <c r="A346" s="23" t="s">
        <v>1192</v>
      </c>
      <c r="B346" s="19" t="s">
        <v>2218</v>
      </c>
      <c r="C346" s="19" t="e">
        <f>VLOOKUP(A346,'Distribution Detail'!$A$2:$F$558,5,FALSE)</f>
        <v>#N/A</v>
      </c>
      <c r="D346" s="25">
        <v>121163.14</v>
      </c>
      <c r="E346" s="19">
        <v>0.431200582</v>
      </c>
      <c r="F346" s="20">
        <v>80019.5</v>
      </c>
      <c r="G346" s="20">
        <f t="shared" si="13"/>
        <v>219085.80352659867</v>
      </c>
      <c r="H346" s="20">
        <v>0</v>
      </c>
      <c r="I346" s="20">
        <v>0</v>
      </c>
      <c r="J346" s="20">
        <v>0</v>
      </c>
      <c r="K346" s="20">
        <v>44704.535033563465</v>
      </c>
      <c r="L346" s="20">
        <f t="shared" si="12"/>
        <v>263790.33856016211</v>
      </c>
    </row>
    <row r="347" spans="1:12">
      <c r="A347" s="23" t="s">
        <v>1194</v>
      </c>
      <c r="B347" s="19" t="s">
        <v>2217</v>
      </c>
      <c r="C347" s="19" t="e">
        <f>VLOOKUP(A347,'Distribution Detail'!$A$2:$F$558,5,FALSE)</f>
        <v>#N/A</v>
      </c>
      <c r="D347" s="25">
        <v>267191.53999999998</v>
      </c>
      <c r="E347" s="19">
        <v>0.36201975400000003</v>
      </c>
      <c r="F347" s="20">
        <v>161235.25</v>
      </c>
      <c r="G347" s="20">
        <f t="shared" si="13"/>
        <v>525805.91595810337</v>
      </c>
      <c r="H347" s="20">
        <v>0</v>
      </c>
      <c r="I347" s="20">
        <v>0</v>
      </c>
      <c r="J347" s="20">
        <v>0</v>
      </c>
      <c r="K347" s="20">
        <v>115126.58282863183</v>
      </c>
      <c r="L347" s="20">
        <f t="shared" si="12"/>
        <v>640932.49878673523</v>
      </c>
    </row>
    <row r="348" spans="1:12">
      <c r="A348" s="23" t="s">
        <v>1196</v>
      </c>
      <c r="B348" s="19" t="s">
        <v>2216</v>
      </c>
      <c r="C348" s="19" t="e">
        <f>VLOOKUP(A348,'Distribution Detail'!$A$2:$F$558,5,FALSE)</f>
        <v>#N/A</v>
      </c>
      <c r="D348" s="25">
        <v>320822.71000000002</v>
      </c>
      <c r="E348" s="19">
        <v>0.41046131800000002</v>
      </c>
      <c r="F348" s="20">
        <v>248151.59</v>
      </c>
      <c r="G348" s="20">
        <f t="shared" si="13"/>
        <v>713744.16139426967</v>
      </c>
      <c r="H348" s="20">
        <v>0</v>
      </c>
      <c r="I348" s="20">
        <v>0</v>
      </c>
      <c r="J348" s="20">
        <v>0</v>
      </c>
      <c r="K348" s="20">
        <v>78960.651754883482</v>
      </c>
      <c r="L348" s="20">
        <f t="shared" si="12"/>
        <v>792704.81314915314</v>
      </c>
    </row>
    <row r="349" spans="1:12">
      <c r="A349" s="23" t="s">
        <v>1198</v>
      </c>
      <c r="B349" s="19" t="s">
        <v>2215</v>
      </c>
      <c r="C349" s="19" t="e">
        <f>VLOOKUP(A349,'Distribution Detail'!$A$2:$F$558,5,FALSE)</f>
        <v>#N/A</v>
      </c>
      <c r="D349" s="25">
        <v>278981.02</v>
      </c>
      <c r="E349" s="19">
        <v>0.437920578</v>
      </c>
      <c r="F349" s="20">
        <v>181259.75</v>
      </c>
      <c r="G349" s="20">
        <f t="shared" si="13"/>
        <v>488656.59574079845</v>
      </c>
      <c r="H349" s="20">
        <v>0</v>
      </c>
      <c r="I349" s="20">
        <v>0</v>
      </c>
      <c r="J349" s="20">
        <v>0</v>
      </c>
      <c r="K349" s="20">
        <v>106178.83926262514</v>
      </c>
      <c r="L349" s="20">
        <f t="shared" si="12"/>
        <v>594835.4350034236</v>
      </c>
    </row>
    <row r="350" spans="1:12">
      <c r="A350" s="23" t="s">
        <v>1199</v>
      </c>
      <c r="B350" s="19" t="s">
        <v>2214</v>
      </c>
      <c r="C350" s="19" t="e">
        <f>VLOOKUP(A350,'Distribution Detail'!$A$2:$F$558,5,FALSE)</f>
        <v>#N/A</v>
      </c>
      <c r="D350" s="25">
        <v>221105.27</v>
      </c>
      <c r="E350" s="19">
        <v>0.140880802</v>
      </c>
      <c r="F350" s="20">
        <v>138546.74</v>
      </c>
      <c r="G350" s="20">
        <f t="shared" si="13"/>
        <v>654265.53646362573</v>
      </c>
      <c r="H350" s="20">
        <v>0</v>
      </c>
      <c r="I350" s="20">
        <v>0</v>
      </c>
      <c r="J350" s="20">
        <v>0</v>
      </c>
      <c r="K350" s="20">
        <v>89703.796181001497</v>
      </c>
      <c r="L350" s="20">
        <f t="shared" si="12"/>
        <v>743969.3326446272</v>
      </c>
    </row>
    <row r="351" spans="1:12">
      <c r="A351" s="23" t="s">
        <v>1201</v>
      </c>
      <c r="B351" s="19" t="s">
        <v>2213</v>
      </c>
      <c r="C351" s="19" t="e">
        <f>VLOOKUP(A351,'Distribution Detail'!$A$2:$F$558,5,FALSE)</f>
        <v>#N/A</v>
      </c>
      <c r="D351" s="25">
        <v>132335.60999999999</v>
      </c>
      <c r="E351" s="19">
        <v>0.32740398999999998</v>
      </c>
      <c r="F351" s="20">
        <v>75550.73</v>
      </c>
      <c r="G351" s="20">
        <f t="shared" si="13"/>
        <v>272428.43716632522</v>
      </c>
      <c r="H351" s="20">
        <v>0</v>
      </c>
      <c r="I351" s="20">
        <v>0</v>
      </c>
      <c r="J351" s="20">
        <v>0</v>
      </c>
      <c r="K351" s="20">
        <v>61699.491278280126</v>
      </c>
      <c r="L351" s="20">
        <f t="shared" si="12"/>
        <v>334127.92844460532</v>
      </c>
    </row>
    <row r="352" spans="1:12">
      <c r="A352" s="23" t="s">
        <v>1203</v>
      </c>
      <c r="B352" s="19" t="s">
        <v>2212</v>
      </c>
      <c r="C352" s="19" t="e">
        <f>VLOOKUP(A352,'Distribution Detail'!$A$2:$F$558,5,FALSE)</f>
        <v>#N/A</v>
      </c>
      <c r="D352" s="25">
        <v>149855.9</v>
      </c>
      <c r="E352" s="19">
        <v>0.33665433099999997</v>
      </c>
      <c r="F352" s="20">
        <v>86377.37</v>
      </c>
      <c r="G352" s="20">
        <f t="shared" si="13"/>
        <v>302909.93123134691</v>
      </c>
      <c r="H352" s="20">
        <v>0</v>
      </c>
      <c r="I352" s="20">
        <v>0</v>
      </c>
      <c r="J352" s="20">
        <v>0</v>
      </c>
      <c r="K352" s="20">
        <v>68972.46253039618</v>
      </c>
      <c r="L352" s="20">
        <f t="shared" si="12"/>
        <v>371882.39376174309</v>
      </c>
    </row>
    <row r="353" spans="1:12">
      <c r="A353" s="23" t="s">
        <v>1205</v>
      </c>
      <c r="B353" s="19" t="s">
        <v>2211</v>
      </c>
      <c r="C353" s="19" t="e">
        <f>VLOOKUP(A353,'Distribution Detail'!$A$2:$F$558,5,FALSE)</f>
        <v>#N/A</v>
      </c>
      <c r="D353" s="25">
        <v>243290.14</v>
      </c>
      <c r="E353" s="19">
        <v>0.320012503</v>
      </c>
      <c r="F353" s="20">
        <v>136845.79999999999</v>
      </c>
      <c r="G353" s="20">
        <f t="shared" si="13"/>
        <v>504849.89220240229</v>
      </c>
      <c r="H353" s="20">
        <v>0</v>
      </c>
      <c r="I353" s="20">
        <v>0</v>
      </c>
      <c r="J353" s="20">
        <v>0</v>
      </c>
      <c r="K353" s="20">
        <v>115656.87252402901</v>
      </c>
      <c r="L353" s="20">
        <f t="shared" si="12"/>
        <v>620506.76472643134</v>
      </c>
    </row>
    <row r="354" spans="1:12">
      <c r="A354" s="23" t="s">
        <v>1207</v>
      </c>
      <c r="B354" s="19" t="s">
        <v>2210</v>
      </c>
      <c r="C354" s="19" t="e">
        <f>VLOOKUP(A354,'Distribution Detail'!$A$2:$F$558,5,FALSE)</f>
        <v>#N/A</v>
      </c>
      <c r="D354" s="25">
        <v>398509.07</v>
      </c>
      <c r="E354" s="19">
        <v>0.46035518199999997</v>
      </c>
      <c r="F354" s="20">
        <v>263718.15999999997</v>
      </c>
      <c r="G354" s="20">
        <f t="shared" si="13"/>
        <v>676308.3392179599</v>
      </c>
      <c r="H354" s="20">
        <v>0</v>
      </c>
      <c r="I354" s="20">
        <v>0</v>
      </c>
      <c r="J354" s="20">
        <v>0</v>
      </c>
      <c r="K354" s="20">
        <v>146456.77821167256</v>
      </c>
      <c r="L354" s="20">
        <f t="shared" si="12"/>
        <v>822765.11742963246</v>
      </c>
    </row>
    <row r="355" spans="1:12">
      <c r="A355" s="23" t="s">
        <v>1209</v>
      </c>
      <c r="B355" s="19" t="s">
        <v>2209</v>
      </c>
      <c r="C355" s="19" t="e">
        <f>VLOOKUP(A355,'Distribution Detail'!$A$2:$F$558,5,FALSE)</f>
        <v>#N/A</v>
      </c>
      <c r="D355" s="25">
        <v>242416.36</v>
      </c>
      <c r="E355" s="19">
        <v>0.40790067200000002</v>
      </c>
      <c r="F355" s="20">
        <v>152378.63</v>
      </c>
      <c r="G355" s="20">
        <f t="shared" si="13"/>
        <v>441029.24167057918</v>
      </c>
      <c r="H355" s="20">
        <v>0</v>
      </c>
      <c r="I355" s="20">
        <v>0</v>
      </c>
      <c r="J355" s="20">
        <v>0</v>
      </c>
      <c r="K355" s="20">
        <v>97830.305124377133</v>
      </c>
      <c r="L355" s="20">
        <f t="shared" si="12"/>
        <v>538859.54679495632</v>
      </c>
    </row>
    <row r="356" spans="1:12">
      <c r="A356" s="23" t="s">
        <v>1211</v>
      </c>
      <c r="B356" s="19" t="s">
        <v>1212</v>
      </c>
      <c r="C356" s="19" t="e">
        <f>VLOOKUP(A356,'Distribution Detail'!$A$2:$F$558,5,FALSE)</f>
        <v>#N/A</v>
      </c>
      <c r="D356" s="25">
        <v>197515.3</v>
      </c>
      <c r="E356" s="19">
        <v>0.35533044600000002</v>
      </c>
      <c r="F356" s="20">
        <v>117545.2</v>
      </c>
      <c r="G356" s="20">
        <f t="shared" si="13"/>
        <v>390544.22476126091</v>
      </c>
      <c r="H356" s="20">
        <v>0</v>
      </c>
      <c r="I356" s="20">
        <v>506.86372299113594</v>
      </c>
      <c r="J356" s="20">
        <v>0</v>
      </c>
      <c r="K356" s="20">
        <v>86384.479315387915</v>
      </c>
      <c r="L356" s="20">
        <f t="shared" si="12"/>
        <v>477435.56779963995</v>
      </c>
    </row>
    <row r="357" spans="1:12">
      <c r="A357" s="23" t="s">
        <v>1213</v>
      </c>
      <c r="B357" s="19" t="s">
        <v>2208</v>
      </c>
      <c r="C357" s="19" t="e">
        <f>VLOOKUP(A357,'Distribution Detail'!$A$2:$F$558,5,FALSE)</f>
        <v>#N/A</v>
      </c>
      <c r="D357" s="25">
        <v>161421.65</v>
      </c>
      <c r="E357" s="19">
        <v>0.41727103799999998</v>
      </c>
      <c r="F357" s="20">
        <v>104031.62</v>
      </c>
      <c r="G357" s="20">
        <f t="shared" si="13"/>
        <v>294337.00131695607</v>
      </c>
      <c r="H357" s="20">
        <v>0</v>
      </c>
      <c r="I357" s="20">
        <v>0</v>
      </c>
      <c r="J357" s="20">
        <v>0</v>
      </c>
      <c r="K357" s="20">
        <v>62357.015731040279</v>
      </c>
      <c r="L357" s="20">
        <f t="shared" si="12"/>
        <v>356694.01704799634</v>
      </c>
    </row>
    <row r="358" spans="1:12">
      <c r="A358" s="23" t="s">
        <v>1215</v>
      </c>
      <c r="B358" s="19" t="s">
        <v>2207</v>
      </c>
      <c r="C358" s="19" t="e">
        <f>VLOOKUP(A358,'Distribution Detail'!$A$2:$F$558,5,FALSE)</f>
        <v>#N/A</v>
      </c>
      <c r="D358" s="25">
        <v>299961.28000000003</v>
      </c>
      <c r="E358" s="19">
        <v>0.48314275499999998</v>
      </c>
      <c r="F358" s="20">
        <v>211672.27</v>
      </c>
      <c r="G358" s="20">
        <f t="shared" si="13"/>
        <v>517233.01433345914</v>
      </c>
      <c r="H358" s="20">
        <v>0</v>
      </c>
      <c r="I358" s="20">
        <v>0</v>
      </c>
      <c r="J358" s="20">
        <v>0</v>
      </c>
      <c r="K358" s="20">
        <v>95930.237106479515</v>
      </c>
      <c r="L358" s="20">
        <f t="shared" si="12"/>
        <v>613163.25143993867</v>
      </c>
    </row>
    <row r="359" spans="1:12">
      <c r="A359" s="23" t="s">
        <v>1217</v>
      </c>
      <c r="B359" s="19" t="s">
        <v>2206</v>
      </c>
      <c r="C359" s="19" t="e">
        <f>VLOOKUP(A359,'Distribution Detail'!$A$2:$F$558,5,FALSE)</f>
        <v>#N/A</v>
      </c>
      <c r="D359" s="25">
        <v>379880.18</v>
      </c>
      <c r="E359" s="19">
        <v>0.30643164899999997</v>
      </c>
      <c r="F359" s="20">
        <v>212133.65</v>
      </c>
      <c r="G359" s="20">
        <f t="shared" si="13"/>
        <v>817285.30081538798</v>
      </c>
      <c r="H359" s="20">
        <v>0</v>
      </c>
      <c r="I359" s="20">
        <v>0</v>
      </c>
      <c r="J359" s="20">
        <v>0</v>
      </c>
      <c r="K359" s="20">
        <v>182264.63742983618</v>
      </c>
      <c r="L359" s="20">
        <f t="shared" si="12"/>
        <v>999549.93824522418</v>
      </c>
    </row>
    <row r="360" spans="1:12">
      <c r="A360" s="23" t="s">
        <v>1219</v>
      </c>
      <c r="B360" s="19" t="s">
        <v>2205</v>
      </c>
      <c r="C360" s="19" t="e">
        <f>VLOOKUP(A360,'Distribution Detail'!$A$2:$F$558,5,FALSE)</f>
        <v>#N/A</v>
      </c>
      <c r="D360" s="25">
        <v>857775</v>
      </c>
      <c r="E360" s="19">
        <v>0.54192266700000002</v>
      </c>
      <c r="F360" s="20">
        <v>588970.53</v>
      </c>
      <c r="G360" s="20">
        <f t="shared" si="13"/>
        <v>1283080.7516532575</v>
      </c>
      <c r="H360" s="20">
        <v>0</v>
      </c>
      <c r="I360" s="20">
        <v>5575.4683564659372</v>
      </c>
      <c r="J360" s="20">
        <v>0</v>
      </c>
      <c r="K360" s="20">
        <v>286493.46006827865</v>
      </c>
      <c r="L360" s="20">
        <f t="shared" si="12"/>
        <v>1575149.6800780022</v>
      </c>
    </row>
    <row r="361" spans="1:12">
      <c r="A361" s="23" t="s">
        <v>1221</v>
      </c>
      <c r="B361" s="19" t="s">
        <v>2204</v>
      </c>
      <c r="C361" s="19" t="e">
        <f>VLOOKUP(A361,'Distribution Detail'!$A$2:$F$558,5,FALSE)</f>
        <v>#N/A</v>
      </c>
      <c r="D361" s="25">
        <v>462002.58</v>
      </c>
      <c r="E361" s="19">
        <v>0.69754894899999997</v>
      </c>
      <c r="F361" s="20">
        <v>363013.73</v>
      </c>
      <c r="G361" s="20">
        <f t="shared" si="13"/>
        <v>614392.78130304685</v>
      </c>
      <c r="H361" s="20">
        <v>0</v>
      </c>
      <c r="I361" s="20">
        <v>0</v>
      </c>
      <c r="J361" s="20">
        <v>0</v>
      </c>
      <c r="K361" s="20">
        <v>107556.12563101269</v>
      </c>
      <c r="L361" s="20">
        <f t="shared" si="12"/>
        <v>721948.90693405957</v>
      </c>
    </row>
    <row r="362" spans="1:12">
      <c r="A362" s="23" t="s">
        <v>1223</v>
      </c>
      <c r="B362" s="19" t="s">
        <v>2203</v>
      </c>
      <c r="C362" s="19" t="e">
        <f>VLOOKUP(A362,'Distribution Detail'!$A$2:$F$558,5,FALSE)</f>
        <v>#N/A</v>
      </c>
      <c r="D362" s="25">
        <v>1146432.27</v>
      </c>
      <c r="E362" s="19">
        <v>0.65523942300000004</v>
      </c>
      <c r="F362" s="20">
        <v>859096.67</v>
      </c>
      <c r="G362" s="20">
        <f t="shared" si="13"/>
        <v>1547888.8011661635</v>
      </c>
      <c r="H362" s="20">
        <v>0</v>
      </c>
      <c r="I362" s="20">
        <v>0</v>
      </c>
      <c r="J362" s="20">
        <v>0</v>
      </c>
      <c r="K362" s="20">
        <v>312203.88853757171</v>
      </c>
      <c r="L362" s="20">
        <f t="shared" si="12"/>
        <v>1860092.6897037353</v>
      </c>
    </row>
    <row r="363" spans="1:12">
      <c r="A363" s="23" t="s">
        <v>1225</v>
      </c>
      <c r="B363" s="19" t="s">
        <v>2202</v>
      </c>
      <c r="C363" s="19" t="e">
        <f>VLOOKUP(A363,'Distribution Detail'!$A$2:$F$558,5,FALSE)</f>
        <v>#N/A</v>
      </c>
      <c r="D363" s="25">
        <v>632979.93999999994</v>
      </c>
      <c r="E363" s="19">
        <v>7.9253923000000004E-2</v>
      </c>
      <c r="F363" s="20">
        <v>337663.5</v>
      </c>
      <c r="G363" s="20">
        <f t="shared" si="13"/>
        <v>1594563.6178208559</v>
      </c>
      <c r="H363" s="20">
        <v>0</v>
      </c>
      <c r="I363" s="20">
        <v>0</v>
      </c>
      <c r="J363" s="20">
        <v>0</v>
      </c>
      <c r="K363" s="20">
        <v>320875.45336210512</v>
      </c>
      <c r="L363" s="20">
        <f t="shared" si="12"/>
        <v>1915439.0711829611</v>
      </c>
    </row>
    <row r="364" spans="1:12">
      <c r="A364" s="23" t="s">
        <v>1226</v>
      </c>
      <c r="B364" s="19" t="s">
        <v>2201</v>
      </c>
      <c r="C364" s="19" t="e">
        <f>VLOOKUP(A364,'Distribution Detail'!$A$2:$F$558,5,FALSE)</f>
        <v>#N/A</v>
      </c>
      <c r="D364" s="25">
        <v>1214137.03</v>
      </c>
      <c r="E364" s="19">
        <v>0.41961231999999998</v>
      </c>
      <c r="F364" s="20">
        <v>792232.66</v>
      </c>
      <c r="G364" s="20">
        <f t="shared" si="13"/>
        <v>2228959.8892397331</v>
      </c>
      <c r="H364" s="20">
        <v>0</v>
      </c>
      <c r="I364" s="20">
        <v>0</v>
      </c>
      <c r="J364" s="20">
        <v>0</v>
      </c>
      <c r="K364" s="20">
        <v>458419.30100201443</v>
      </c>
      <c r="L364" s="20">
        <f t="shared" si="12"/>
        <v>2687379.1902417475</v>
      </c>
    </row>
    <row r="365" spans="1:12">
      <c r="A365" s="23" t="s">
        <v>1228</v>
      </c>
      <c r="B365" s="19" t="s">
        <v>2200</v>
      </c>
      <c r="C365" s="19" t="e">
        <f>VLOOKUP(A365,'Distribution Detail'!$A$2:$F$558,5,FALSE)</f>
        <v>#N/A</v>
      </c>
      <c r="D365" s="25">
        <v>173319.08</v>
      </c>
      <c r="E365" s="19">
        <v>0.39506776300000002</v>
      </c>
      <c r="F365" s="20">
        <v>110290.06</v>
      </c>
      <c r="G365" s="20">
        <f t="shared" si="13"/>
        <v>329581.26889278024</v>
      </c>
      <c r="H365" s="20">
        <v>0</v>
      </c>
      <c r="I365" s="20">
        <v>0</v>
      </c>
      <c r="J365" s="20">
        <v>0</v>
      </c>
      <c r="K365" s="20">
        <v>68484.048390496609</v>
      </c>
      <c r="L365" s="20">
        <f t="shared" si="12"/>
        <v>398065.31728327682</v>
      </c>
    </row>
    <row r="366" spans="1:12">
      <c r="A366" s="23" t="s">
        <v>1230</v>
      </c>
      <c r="B366" s="19" t="s">
        <v>2199</v>
      </c>
      <c r="C366" s="19" t="e">
        <f>VLOOKUP(A366,'Distribution Detail'!$A$2:$F$558,5,FALSE)</f>
        <v>#N/A</v>
      </c>
      <c r="D366" s="25">
        <v>343981.77</v>
      </c>
      <c r="E366" s="19">
        <v>0.58954382900000002</v>
      </c>
      <c r="F366" s="20">
        <v>256313.72</v>
      </c>
      <c r="G366" s="20">
        <f t="shared" si="13"/>
        <v>513279.00188096758</v>
      </c>
      <c r="H366" s="20">
        <v>0</v>
      </c>
      <c r="I366" s="20">
        <v>0</v>
      </c>
      <c r="J366" s="20">
        <v>0</v>
      </c>
      <c r="K366" s="20">
        <v>95255.534331653529</v>
      </c>
      <c r="L366" s="20">
        <f t="shared" si="12"/>
        <v>608534.53621262114</v>
      </c>
    </row>
    <row r="367" spans="1:12">
      <c r="A367" s="23" t="s">
        <v>1232</v>
      </c>
      <c r="B367" s="19" t="s">
        <v>2198</v>
      </c>
      <c r="C367" s="19" t="e">
        <f>VLOOKUP(A367,'Distribution Detail'!$A$2:$F$558,5,FALSE)</f>
        <v>#N/A</v>
      </c>
      <c r="D367" s="25">
        <v>313134.82</v>
      </c>
      <c r="E367" s="19">
        <v>0.57164996300000004</v>
      </c>
      <c r="F367" s="20">
        <v>224158.44</v>
      </c>
      <c r="G367" s="20">
        <f t="shared" si="13"/>
        <v>462937.81505976018</v>
      </c>
      <c r="H367" s="20">
        <v>0</v>
      </c>
      <c r="I367" s="20">
        <v>0</v>
      </c>
      <c r="J367" s="20">
        <v>0</v>
      </c>
      <c r="K367" s="20">
        <v>96677.097526365091</v>
      </c>
      <c r="L367" s="20">
        <f t="shared" si="12"/>
        <v>559614.91258612531</v>
      </c>
    </row>
    <row r="368" spans="1:12">
      <c r="A368" s="23" t="s">
        <v>1234</v>
      </c>
      <c r="B368" s="19" t="s">
        <v>2153</v>
      </c>
      <c r="C368" s="19" t="e">
        <f>VLOOKUP(A368,'Distribution Detail'!$A$2:$F$558,5,FALSE)</f>
        <v>#N/A</v>
      </c>
      <c r="D368" s="25">
        <v>614296.41</v>
      </c>
      <c r="E368" s="19">
        <v>0.52082150800000004</v>
      </c>
      <c r="F368" s="20">
        <v>438290.31</v>
      </c>
      <c r="G368" s="20">
        <f t="shared" si="13"/>
        <v>993506.47103613324</v>
      </c>
      <c r="H368" s="20">
        <v>0</v>
      </c>
      <c r="I368" s="20">
        <v>0</v>
      </c>
      <c r="J368" s="20">
        <v>0</v>
      </c>
      <c r="K368" s="20">
        <v>191239.05574642582</v>
      </c>
      <c r="L368" s="20">
        <f t="shared" si="12"/>
        <v>1184745.526782559</v>
      </c>
    </row>
    <row r="369" spans="1:12">
      <c r="A369" s="23" t="s">
        <v>1236</v>
      </c>
      <c r="B369" s="19" t="s">
        <v>2197</v>
      </c>
      <c r="C369" s="19" t="e">
        <f>VLOOKUP(A369,'Distribution Detail'!$A$2:$F$558,5,FALSE)</f>
        <v>#N/A</v>
      </c>
      <c r="D369" s="25">
        <v>1012448.08</v>
      </c>
      <c r="E369" s="19">
        <v>0.65237137099999998</v>
      </c>
      <c r="F369" s="20">
        <v>746379.63</v>
      </c>
      <c r="G369" s="20">
        <f t="shared" si="13"/>
        <v>1350711.5887230996</v>
      </c>
      <c r="H369" s="20">
        <v>0</v>
      </c>
      <c r="I369" s="20">
        <v>0</v>
      </c>
      <c r="J369" s="20">
        <v>0</v>
      </c>
      <c r="K369" s="20">
        <v>289096.11167973786</v>
      </c>
      <c r="L369" s="20">
        <f t="shared" si="12"/>
        <v>1639807.7004028375</v>
      </c>
    </row>
    <row r="370" spans="1:12">
      <c r="A370" s="23" t="s">
        <v>1238</v>
      </c>
      <c r="B370" s="19" t="s">
        <v>2147</v>
      </c>
      <c r="C370" s="19" t="e">
        <f>VLOOKUP(A370,'Distribution Detail'!$A$2:$F$558,5,FALSE)</f>
        <v>#N/A</v>
      </c>
      <c r="D370" s="25">
        <v>881344.54</v>
      </c>
      <c r="E370" s="19">
        <v>0.37041087</v>
      </c>
      <c r="F370" s="20">
        <v>577702.48</v>
      </c>
      <c r="G370" s="20">
        <f t="shared" si="13"/>
        <v>1841273.2795242306</v>
      </c>
      <c r="H370" s="20">
        <v>0</v>
      </c>
      <c r="I370" s="20">
        <v>0</v>
      </c>
      <c r="J370" s="20">
        <v>0</v>
      </c>
      <c r="K370" s="20">
        <v>329921.63816651562</v>
      </c>
      <c r="L370" s="20">
        <f t="shared" si="12"/>
        <v>2171194.9176907465</v>
      </c>
    </row>
    <row r="371" spans="1:12">
      <c r="A371" s="23" t="s">
        <v>1239</v>
      </c>
      <c r="B371" s="19" t="s">
        <v>2196</v>
      </c>
      <c r="C371" s="19" t="e">
        <f>VLOOKUP(A371,'Distribution Detail'!$A$2:$F$558,5,FALSE)</f>
        <v>#N/A</v>
      </c>
      <c r="D371" s="25">
        <v>972397.83</v>
      </c>
      <c r="E371" s="19">
        <v>0.32327116099999997</v>
      </c>
      <c r="F371" s="20">
        <v>571475.99</v>
      </c>
      <c r="G371" s="20">
        <f t="shared" si="13"/>
        <v>2087030.363163115</v>
      </c>
      <c r="H371" s="20">
        <v>0</v>
      </c>
      <c r="I371" s="20">
        <v>0</v>
      </c>
      <c r="J371" s="20">
        <v>0</v>
      </c>
      <c r="K371" s="20">
        <v>435620.77740328095</v>
      </c>
      <c r="L371" s="20">
        <f t="shared" si="12"/>
        <v>2522651.1405663961</v>
      </c>
    </row>
    <row r="372" spans="1:12">
      <c r="A372" s="23" t="s">
        <v>1241</v>
      </c>
      <c r="B372" s="19" t="s">
        <v>2195</v>
      </c>
      <c r="C372" s="19" t="e">
        <f>VLOOKUP(A372,'Distribution Detail'!$A$2:$F$558,5,FALSE)</f>
        <v>#N/A</v>
      </c>
      <c r="D372" s="25">
        <v>563412.32999999996</v>
      </c>
      <c r="E372" s="19">
        <v>0.44501090799999998</v>
      </c>
      <c r="F372" s="20">
        <v>454920.94</v>
      </c>
      <c r="G372" s="20">
        <f t="shared" si="13"/>
        <v>1206877.0064995138</v>
      </c>
      <c r="H372" s="20">
        <v>0</v>
      </c>
      <c r="I372" s="20">
        <v>0</v>
      </c>
      <c r="J372" s="20">
        <v>0</v>
      </c>
      <c r="K372" s="20">
        <v>117881.09037253381</v>
      </c>
      <c r="L372" s="20">
        <f t="shared" si="12"/>
        <v>1324758.0968720475</v>
      </c>
    </row>
    <row r="373" spans="1:12">
      <c r="A373" s="23" t="s">
        <v>1243</v>
      </c>
      <c r="B373" s="19" t="s">
        <v>2194</v>
      </c>
      <c r="C373" s="19" t="e">
        <f>VLOOKUP(A373,'Distribution Detail'!$A$2:$F$558,5,FALSE)</f>
        <v>#N/A</v>
      </c>
      <c r="D373" s="25">
        <v>389892.61</v>
      </c>
      <c r="E373" s="19">
        <v>0.486912287</v>
      </c>
      <c r="F373" s="20">
        <v>285610.25</v>
      </c>
      <c r="G373" s="20">
        <f t="shared" si="13"/>
        <v>692501.62560226198</v>
      </c>
      <c r="H373" s="20">
        <v>0</v>
      </c>
      <c r="I373" s="20">
        <v>0</v>
      </c>
      <c r="J373" s="20">
        <v>0</v>
      </c>
      <c r="K373" s="20">
        <v>113307.77772707221</v>
      </c>
      <c r="L373" s="20">
        <f t="shared" si="12"/>
        <v>805809.40332933422</v>
      </c>
    </row>
    <row r="374" spans="1:12">
      <c r="A374" s="23" t="s">
        <v>1245</v>
      </c>
      <c r="B374" s="19" t="s">
        <v>2193</v>
      </c>
      <c r="C374" s="19" t="e">
        <f>VLOOKUP(A374,'Distribution Detail'!$A$2:$F$558,5,FALSE)</f>
        <v>#N/A</v>
      </c>
      <c r="D374" s="25">
        <v>186347.94</v>
      </c>
      <c r="E374" s="19">
        <v>0.485237627</v>
      </c>
      <c r="F374" s="20">
        <v>125283.28</v>
      </c>
      <c r="G374" s="20">
        <f t="shared" si="13"/>
        <v>304815.03623623587</v>
      </c>
      <c r="H374" s="20">
        <v>0</v>
      </c>
      <c r="I374" s="20">
        <v>0</v>
      </c>
      <c r="J374" s="20">
        <v>0</v>
      </c>
      <c r="K374" s="20">
        <v>66349.677186623288</v>
      </c>
      <c r="L374" s="20">
        <f t="shared" si="12"/>
        <v>371164.71342285915</v>
      </c>
    </row>
    <row r="375" spans="1:12">
      <c r="A375" s="23" t="s">
        <v>1246</v>
      </c>
      <c r="B375" s="19" t="s">
        <v>2192</v>
      </c>
      <c r="C375" s="19" t="e">
        <f>VLOOKUP(A375,'Distribution Detail'!$A$2:$F$558,5,FALSE)</f>
        <v>#N/A</v>
      </c>
      <c r="D375" s="25">
        <v>419402.44</v>
      </c>
      <c r="E375" s="19">
        <v>0.28566999599999998</v>
      </c>
      <c r="F375" s="20">
        <v>240401.73</v>
      </c>
      <c r="G375" s="20">
        <f t="shared" si="13"/>
        <v>993506.47452648054</v>
      </c>
      <c r="H375" s="20">
        <v>0</v>
      </c>
      <c r="I375" s="20">
        <v>0</v>
      </c>
      <c r="J375" s="20">
        <v>0</v>
      </c>
      <c r="K375" s="20">
        <v>194492.84290907983</v>
      </c>
      <c r="L375" s="20">
        <f t="shared" si="12"/>
        <v>1187999.3174355603</v>
      </c>
    </row>
    <row r="376" spans="1:12">
      <c r="A376" s="23" t="s">
        <v>1248</v>
      </c>
      <c r="B376" s="19" t="s">
        <v>2191</v>
      </c>
      <c r="C376" s="19" t="e">
        <f>VLOOKUP(A376,'Distribution Detail'!$A$2:$F$558,5,FALSE)</f>
        <v>#N/A</v>
      </c>
      <c r="D376" s="25">
        <v>435833.65</v>
      </c>
      <c r="E376" s="19">
        <v>0.48184442599999999</v>
      </c>
      <c r="F376" s="20">
        <v>308685.34000000003</v>
      </c>
      <c r="G376" s="20">
        <f t="shared" si="13"/>
        <v>756322.30216718302</v>
      </c>
      <c r="H376" s="20">
        <v>0</v>
      </c>
      <c r="I376" s="20">
        <v>0</v>
      </c>
      <c r="J376" s="20">
        <v>0</v>
      </c>
      <c r="K376" s="20">
        <v>138152.72734384678</v>
      </c>
      <c r="L376" s="20">
        <f t="shared" si="12"/>
        <v>894475.02951102983</v>
      </c>
    </row>
    <row r="377" spans="1:12">
      <c r="A377" s="23" t="s">
        <v>1250</v>
      </c>
      <c r="B377" s="19" t="s">
        <v>2190</v>
      </c>
      <c r="C377" s="19" t="e">
        <f>VLOOKUP(A377,'Distribution Detail'!$A$2:$F$558,5,FALSE)</f>
        <v>#N/A</v>
      </c>
      <c r="D377" s="25">
        <v>180906.09</v>
      </c>
      <c r="E377" s="19">
        <v>0.05</v>
      </c>
      <c r="F377" s="20">
        <v>176098.96</v>
      </c>
      <c r="G377" s="20">
        <f t="shared" si="13"/>
        <v>831600.08337321086</v>
      </c>
      <c r="H377" s="20">
        <v>0</v>
      </c>
      <c r="I377" s="20">
        <v>0</v>
      </c>
      <c r="J377" s="20">
        <v>0</v>
      </c>
      <c r="K377" s="20">
        <v>5223.1769356307304</v>
      </c>
      <c r="L377" s="20">
        <f t="shared" si="12"/>
        <v>836823.26030884159</v>
      </c>
    </row>
    <row r="378" spans="1:12">
      <c r="A378" s="23" t="s">
        <v>1252</v>
      </c>
      <c r="B378" s="19" t="s">
        <v>2082</v>
      </c>
      <c r="C378" s="19" t="e">
        <f>VLOOKUP(A378,'Distribution Detail'!$A$2:$F$558,5,FALSE)</f>
        <v>#N/A</v>
      </c>
      <c r="D378" s="25">
        <v>658996.79</v>
      </c>
      <c r="E378" s="19">
        <v>0.49919456899999998</v>
      </c>
      <c r="F378" s="20">
        <v>658531.06000000006</v>
      </c>
      <c r="G378" s="20">
        <f t="shared" si="13"/>
        <v>1557414.2837562675</v>
      </c>
      <c r="H378" s="20">
        <v>0</v>
      </c>
      <c r="I378" s="20">
        <v>0</v>
      </c>
      <c r="J378" s="20">
        <v>0</v>
      </c>
      <c r="K378" s="20">
        <v>0</v>
      </c>
      <c r="L378" s="20">
        <f t="shared" si="12"/>
        <v>1557414.2837562675</v>
      </c>
    </row>
    <row r="379" spans="1:12">
      <c r="A379" s="23" t="s">
        <v>1253</v>
      </c>
      <c r="B379" s="19" t="s">
        <v>2176</v>
      </c>
      <c r="C379" s="19" t="e">
        <f>VLOOKUP(A379,'Distribution Detail'!$A$2:$F$558,5,FALSE)</f>
        <v>#N/A</v>
      </c>
      <c r="D379" s="25">
        <v>696103.19</v>
      </c>
      <c r="E379" s="19">
        <v>0.210519548</v>
      </c>
      <c r="F379" s="20">
        <v>696103.19</v>
      </c>
      <c r="G379" s="20">
        <f t="shared" si="13"/>
        <v>3287239.5773396841</v>
      </c>
      <c r="H379" s="20">
        <v>0</v>
      </c>
      <c r="I379" s="20">
        <v>0</v>
      </c>
      <c r="J379" s="20">
        <v>0</v>
      </c>
      <c r="K379" s="20">
        <v>0</v>
      </c>
      <c r="L379" s="20">
        <f t="shared" si="12"/>
        <v>3287239.5773396841</v>
      </c>
    </row>
    <row r="380" spans="1:12">
      <c r="A380" s="23" t="s">
        <v>1255</v>
      </c>
      <c r="B380" s="19" t="s">
        <v>2046</v>
      </c>
      <c r="C380" s="19" t="e">
        <f>VLOOKUP(A380,'Distribution Detail'!$A$2:$F$558,5,FALSE)</f>
        <v>#N/A</v>
      </c>
      <c r="D380" s="25">
        <v>251328.82</v>
      </c>
      <c r="E380" s="19">
        <v>0.31881008</v>
      </c>
      <c r="F380" s="20">
        <v>250743.36</v>
      </c>
      <c r="G380" s="20">
        <f t="shared" si="13"/>
        <v>928528.2867262169</v>
      </c>
      <c r="H380" s="20">
        <v>0</v>
      </c>
      <c r="I380" s="20">
        <v>0</v>
      </c>
      <c r="J380" s="20">
        <v>506.86372299113594</v>
      </c>
      <c r="K380" s="20">
        <v>0</v>
      </c>
      <c r="L380" s="20">
        <f t="shared" si="12"/>
        <v>929035.15044920798</v>
      </c>
    </row>
    <row r="381" spans="1:12">
      <c r="A381" s="23" t="s">
        <v>1256</v>
      </c>
      <c r="B381" s="19" t="s">
        <v>2189</v>
      </c>
      <c r="C381" s="19" t="e">
        <f>VLOOKUP(A381,'Distribution Detail'!$A$2:$F$558,5,FALSE)</f>
        <v>#N/A</v>
      </c>
      <c r="D381" s="25">
        <v>540557.19999999995</v>
      </c>
      <c r="E381" s="19">
        <v>0.78664999599999996</v>
      </c>
      <c r="F381" s="20">
        <v>450004.07</v>
      </c>
      <c r="G381" s="20">
        <f t="shared" si="13"/>
        <v>675355.80730065948</v>
      </c>
      <c r="H381" s="20">
        <v>0</v>
      </c>
      <c r="I381" s="20">
        <v>0</v>
      </c>
      <c r="J381" s="20">
        <v>0</v>
      </c>
      <c r="K381" s="20">
        <v>98390.311904435948</v>
      </c>
      <c r="L381" s="20">
        <f t="shared" si="12"/>
        <v>773746.11920509546</v>
      </c>
    </row>
    <row r="382" spans="1:12">
      <c r="A382" s="23" t="s">
        <v>1258</v>
      </c>
      <c r="B382" s="19" t="s">
        <v>2188</v>
      </c>
      <c r="C382" s="19" t="e">
        <f>VLOOKUP(A382,'Distribution Detail'!$A$2:$F$558,5,FALSE)</f>
        <v>#N/A</v>
      </c>
      <c r="D382" s="25">
        <v>295178.38</v>
      </c>
      <c r="E382" s="19">
        <v>0.52713460700000003</v>
      </c>
      <c r="F382" s="20">
        <v>276029.09999999998</v>
      </c>
      <c r="G382" s="20">
        <f t="shared" si="13"/>
        <v>618202.96267975145</v>
      </c>
      <c r="H382" s="20">
        <v>0</v>
      </c>
      <c r="I382" s="20">
        <v>0</v>
      </c>
      <c r="J382" s="20">
        <v>0</v>
      </c>
      <c r="K382" s="20">
        <v>20806.609688095563</v>
      </c>
      <c r="L382" s="20">
        <f t="shared" si="12"/>
        <v>639009.57236784697</v>
      </c>
    </row>
    <row r="383" spans="1:12">
      <c r="A383" s="23" t="s">
        <v>1259</v>
      </c>
      <c r="B383" s="19" t="s">
        <v>2187</v>
      </c>
      <c r="C383" s="19" t="e">
        <f>VLOOKUP(A383,'Distribution Detail'!$A$2:$F$558,5,FALSE)</f>
        <v>#N/A</v>
      </c>
      <c r="D383" s="25">
        <v>892456.88</v>
      </c>
      <c r="E383" s="19">
        <v>0.42063442099999998</v>
      </c>
      <c r="F383" s="20">
        <v>587815.92000000004</v>
      </c>
      <c r="G383" s="20">
        <f t="shared" si="13"/>
        <v>1649811.3124138168</v>
      </c>
      <c r="H383" s="20">
        <v>0</v>
      </c>
      <c r="I383" s="20">
        <v>0</v>
      </c>
      <c r="J383" s="20">
        <v>5068.6046334748016</v>
      </c>
      <c r="K383" s="20">
        <v>325938.38621561893</v>
      </c>
      <c r="L383" s="20">
        <f t="shared" si="12"/>
        <v>1980818.3032629103</v>
      </c>
    </row>
    <row r="384" spans="1:12">
      <c r="A384" s="23" t="s">
        <v>1261</v>
      </c>
      <c r="B384" s="19" t="s">
        <v>2186</v>
      </c>
      <c r="C384" s="19" t="e">
        <f>VLOOKUP(A384,'Distribution Detail'!$A$2:$F$558,5,FALSE)</f>
        <v>#N/A</v>
      </c>
      <c r="D384" s="25">
        <v>650894.13</v>
      </c>
      <c r="E384" s="19">
        <v>0.63712757399999997</v>
      </c>
      <c r="F384" s="20">
        <v>650894.13</v>
      </c>
      <c r="G384" s="20">
        <f t="shared" si="13"/>
        <v>1206095.4956393931</v>
      </c>
      <c r="H384" s="20">
        <v>0</v>
      </c>
      <c r="I384" s="20">
        <v>0</v>
      </c>
      <c r="J384" s="20">
        <v>0</v>
      </c>
      <c r="K384" s="20">
        <v>0</v>
      </c>
      <c r="L384" s="20">
        <f t="shared" si="12"/>
        <v>1206095.4956393931</v>
      </c>
    </row>
    <row r="385" spans="1:12">
      <c r="A385" s="23" t="s">
        <v>1263</v>
      </c>
      <c r="B385" s="19" t="s">
        <v>2185</v>
      </c>
      <c r="C385" s="19" t="e">
        <f>VLOOKUP(A385,'Distribution Detail'!$A$2:$F$558,5,FALSE)</f>
        <v>#N/A</v>
      </c>
      <c r="D385" s="25">
        <v>732158.04</v>
      </c>
      <c r="E385" s="19">
        <v>0.70717370999999996</v>
      </c>
      <c r="F385" s="20">
        <v>541478.18999999994</v>
      </c>
      <c r="G385" s="20">
        <f t="shared" si="13"/>
        <v>903967.05587868777</v>
      </c>
      <c r="H385" s="20">
        <v>0</v>
      </c>
      <c r="I385" s="20">
        <v>0</v>
      </c>
      <c r="J385" s="20">
        <v>0</v>
      </c>
      <c r="K385" s="20">
        <v>207182.78777764016</v>
      </c>
      <c r="L385" s="20">
        <f t="shared" si="12"/>
        <v>1111149.843656328</v>
      </c>
    </row>
    <row r="386" spans="1:12">
      <c r="A386" s="23" t="s">
        <v>1265</v>
      </c>
      <c r="B386" s="19" t="s">
        <v>2184</v>
      </c>
      <c r="C386" s="19" t="e">
        <f>VLOOKUP(A386,'Distribution Detail'!$A$2:$F$558,5,FALSE)</f>
        <v>#N/A</v>
      </c>
      <c r="D386" s="25">
        <v>256052.48000000001</v>
      </c>
      <c r="E386" s="19">
        <v>0.37616485100000002</v>
      </c>
      <c r="F386" s="20">
        <v>202741.81</v>
      </c>
      <c r="G386" s="20">
        <f t="shared" si="13"/>
        <v>636301.3558948905</v>
      </c>
      <c r="H386" s="20">
        <v>0</v>
      </c>
      <c r="I386" s="20">
        <v>0</v>
      </c>
      <c r="J386" s="20">
        <v>0</v>
      </c>
      <c r="K386" s="20">
        <v>57924.595749859291</v>
      </c>
      <c r="L386" s="20">
        <f t="shared" ref="L386:L449" si="14">SUM(G386:K386)</f>
        <v>694225.95164474985</v>
      </c>
    </row>
    <row r="387" spans="1:12">
      <c r="A387" s="23" t="s">
        <v>1267</v>
      </c>
      <c r="B387" s="19" t="s">
        <v>2183</v>
      </c>
      <c r="C387" s="19" t="e">
        <f>VLOOKUP(A387,'Distribution Detail'!$A$2:$F$558,5,FALSE)</f>
        <v>#N/A</v>
      </c>
      <c r="D387" s="25">
        <v>553475.18000000005</v>
      </c>
      <c r="E387" s="19">
        <v>0.29591448199999998</v>
      </c>
      <c r="F387" s="20">
        <v>367445.97</v>
      </c>
      <c r="G387" s="20">
        <f t="shared" ref="G387:G450" si="15">(F387/(IF(E387&lt;0.25,0.25,E387))/0.920346)/0.920346</f>
        <v>1465969.7551545391</v>
      </c>
      <c r="H387" s="20">
        <v>0</v>
      </c>
      <c r="I387" s="20">
        <v>0</v>
      </c>
      <c r="J387" s="20">
        <v>0</v>
      </c>
      <c r="K387" s="20">
        <v>202129.64472057248</v>
      </c>
      <c r="L387" s="20">
        <f t="shared" si="14"/>
        <v>1668099.3998751116</v>
      </c>
    </row>
    <row r="388" spans="1:12">
      <c r="A388" s="23" t="s">
        <v>1269</v>
      </c>
      <c r="B388" s="19" t="s">
        <v>2182</v>
      </c>
      <c r="C388" s="19" t="e">
        <f>VLOOKUP(A388,'Distribution Detail'!$A$2:$F$558,5,FALSE)</f>
        <v>#N/A</v>
      </c>
      <c r="D388" s="25">
        <v>1559232.66</v>
      </c>
      <c r="E388" s="19">
        <v>0.55969482000000004</v>
      </c>
      <c r="F388" s="20">
        <v>1556621.76</v>
      </c>
      <c r="G388" s="20">
        <f t="shared" si="15"/>
        <v>3283443.5290093361</v>
      </c>
      <c r="H388" s="20">
        <v>0</v>
      </c>
      <c r="I388" s="20">
        <v>0</v>
      </c>
      <c r="J388" s="20">
        <v>0</v>
      </c>
      <c r="K388" s="20">
        <v>0</v>
      </c>
      <c r="L388" s="20">
        <f t="shared" si="14"/>
        <v>3283443.5290093361</v>
      </c>
    </row>
    <row r="389" spans="1:12">
      <c r="A389" s="23" t="s">
        <v>1271</v>
      </c>
      <c r="B389" s="19" t="s">
        <v>2181</v>
      </c>
      <c r="C389" s="19" t="e">
        <f>VLOOKUP(A389,'Distribution Detail'!$A$2:$F$558,5,FALSE)</f>
        <v>#N/A</v>
      </c>
      <c r="D389" s="25">
        <v>1099054.25</v>
      </c>
      <c r="E389" s="19">
        <v>0.56108991200000002</v>
      </c>
      <c r="F389" s="20">
        <v>837062.77</v>
      </c>
      <c r="G389" s="20">
        <f t="shared" si="15"/>
        <v>1761259.3332736259</v>
      </c>
      <c r="H389" s="20">
        <v>0</v>
      </c>
      <c r="I389" s="20">
        <v>0</v>
      </c>
      <c r="J389" s="20">
        <v>0</v>
      </c>
      <c r="K389" s="20">
        <v>284666.2885480026</v>
      </c>
      <c r="L389" s="20">
        <f t="shared" si="14"/>
        <v>2045925.6218216284</v>
      </c>
    </row>
    <row r="390" spans="1:12">
      <c r="A390" s="23" t="s">
        <v>1273</v>
      </c>
      <c r="B390" s="19" t="s">
        <v>2180</v>
      </c>
      <c r="C390" s="19" t="e">
        <f>VLOOKUP(A390,'Distribution Detail'!$A$2:$F$558,5,FALSE)</f>
        <v>#N/A</v>
      </c>
      <c r="D390" s="25">
        <v>1003662.63</v>
      </c>
      <c r="E390" s="19">
        <v>0.45903144699999998</v>
      </c>
      <c r="F390" s="20">
        <v>691473.29</v>
      </c>
      <c r="G390" s="20">
        <f t="shared" si="15"/>
        <v>1778405.168377049</v>
      </c>
      <c r="H390" s="20">
        <v>0</v>
      </c>
      <c r="I390" s="20">
        <v>0</v>
      </c>
      <c r="J390" s="20">
        <v>0</v>
      </c>
      <c r="K390" s="20">
        <v>339208.66717517108</v>
      </c>
      <c r="L390" s="20">
        <f t="shared" si="14"/>
        <v>2117613.8355522202</v>
      </c>
    </row>
    <row r="391" spans="1:12">
      <c r="A391" s="23" t="s">
        <v>1275</v>
      </c>
      <c r="B391" s="19" t="s">
        <v>2131</v>
      </c>
      <c r="C391" s="19" t="e">
        <f>VLOOKUP(A391,'Distribution Detail'!$A$2:$F$558,5,FALSE)</f>
        <v>#N/A</v>
      </c>
      <c r="D391" s="25">
        <v>774278.12</v>
      </c>
      <c r="E391" s="19">
        <v>0.25455576400000002</v>
      </c>
      <c r="F391" s="20">
        <v>411594.26</v>
      </c>
      <c r="G391" s="20">
        <f t="shared" si="15"/>
        <v>1908904.122765301</v>
      </c>
      <c r="H391" s="20">
        <v>0</v>
      </c>
      <c r="I391" s="20">
        <v>0</v>
      </c>
      <c r="J391" s="20">
        <v>0</v>
      </c>
      <c r="K391" s="20">
        <v>394073.38109797833</v>
      </c>
      <c r="L391" s="20">
        <f t="shared" si="14"/>
        <v>2302977.5038632792</v>
      </c>
    </row>
    <row r="392" spans="1:12">
      <c r="A392" s="23" t="s">
        <v>1277</v>
      </c>
      <c r="B392" s="19" t="s">
        <v>2179</v>
      </c>
      <c r="C392" s="19" t="e">
        <f>VLOOKUP(A392,'Distribution Detail'!$A$2:$F$558,5,FALSE)</f>
        <v>#N/A</v>
      </c>
      <c r="D392" s="25">
        <v>1005944.04</v>
      </c>
      <c r="E392" s="19">
        <v>0.45959572599999998</v>
      </c>
      <c r="F392" s="20">
        <v>1005944.04</v>
      </c>
      <c r="G392" s="20">
        <f t="shared" si="15"/>
        <v>2584018.2838802212</v>
      </c>
      <c r="H392" s="20">
        <v>0</v>
      </c>
      <c r="I392" s="20">
        <v>0</v>
      </c>
      <c r="J392" s="20">
        <v>0</v>
      </c>
      <c r="K392" s="20">
        <v>0</v>
      </c>
      <c r="L392" s="20">
        <f t="shared" si="14"/>
        <v>2584018.2838802212</v>
      </c>
    </row>
    <row r="393" spans="1:12">
      <c r="A393" s="23" t="s">
        <v>1279</v>
      </c>
      <c r="B393" s="19" t="s">
        <v>2178</v>
      </c>
      <c r="C393" s="19" t="e">
        <f>VLOOKUP(A393,'Distribution Detail'!$A$2:$F$558,5,FALSE)</f>
        <v>#N/A</v>
      </c>
      <c r="D393" s="25">
        <v>711093.37</v>
      </c>
      <c r="E393" s="19">
        <v>0.32576314200000001</v>
      </c>
      <c r="F393" s="20">
        <v>414760.7</v>
      </c>
      <c r="G393" s="20">
        <f t="shared" si="15"/>
        <v>1503119.1069462204</v>
      </c>
      <c r="H393" s="20">
        <v>0</v>
      </c>
      <c r="I393" s="20">
        <v>506.86372299113594</v>
      </c>
      <c r="J393" s="20">
        <v>0</v>
      </c>
      <c r="K393" s="20">
        <v>321472.77219654346</v>
      </c>
      <c r="L393" s="20">
        <f t="shared" si="14"/>
        <v>1825098.742865755</v>
      </c>
    </row>
    <row r="394" spans="1:12">
      <c r="A394" s="23" t="s">
        <v>1281</v>
      </c>
      <c r="B394" s="19" t="s">
        <v>2177</v>
      </c>
      <c r="C394" s="19" t="e">
        <f>VLOOKUP(A394,'Distribution Detail'!$A$2:$F$558,5,FALSE)</f>
        <v>#N/A</v>
      </c>
      <c r="D394" s="25">
        <v>335097.21000000002</v>
      </c>
      <c r="E394" s="19">
        <v>0.247371913</v>
      </c>
      <c r="F394" s="20">
        <v>190560.06</v>
      </c>
      <c r="G394" s="20">
        <f t="shared" si="15"/>
        <v>899890.38994667586</v>
      </c>
      <c r="H394" s="20">
        <v>0</v>
      </c>
      <c r="I394" s="20">
        <v>0</v>
      </c>
      <c r="J394" s="20">
        <v>0</v>
      </c>
      <c r="K394" s="20">
        <v>157046.53467282956</v>
      </c>
      <c r="L394" s="20">
        <f t="shared" si="14"/>
        <v>1056936.9246195054</v>
      </c>
    </row>
    <row r="395" spans="1:12">
      <c r="A395" s="23" t="s">
        <v>1283</v>
      </c>
      <c r="B395" s="19" t="s">
        <v>2176</v>
      </c>
      <c r="C395" s="19" t="e">
        <f>VLOOKUP(A395,'Distribution Detail'!$A$2:$F$558,5,FALSE)</f>
        <v>#N/A</v>
      </c>
      <c r="D395" s="25">
        <v>226999.36</v>
      </c>
      <c r="E395" s="19">
        <v>0.60777123700000002</v>
      </c>
      <c r="F395" s="20">
        <v>168198.81</v>
      </c>
      <c r="G395" s="20">
        <f t="shared" si="15"/>
        <v>326723.60888721858</v>
      </c>
      <c r="H395" s="20">
        <v>0</v>
      </c>
      <c r="I395" s="20">
        <v>0</v>
      </c>
      <c r="J395" s="20">
        <v>0</v>
      </c>
      <c r="K395" s="20">
        <v>63889.613254145726</v>
      </c>
      <c r="L395" s="20">
        <f t="shared" si="14"/>
        <v>390613.2221413643</v>
      </c>
    </row>
    <row r="396" spans="1:12">
      <c r="A396" s="23" t="s">
        <v>1284</v>
      </c>
      <c r="B396" s="19" t="s">
        <v>2175</v>
      </c>
      <c r="C396" s="19" t="e">
        <f>VLOOKUP(A396,'Distribution Detail'!$A$2:$F$558,5,FALSE)</f>
        <v>#N/A</v>
      </c>
      <c r="D396" s="25">
        <v>467473.21</v>
      </c>
      <c r="E396" s="19">
        <v>0.31625879600000001</v>
      </c>
      <c r="F396" s="20">
        <v>467473.21</v>
      </c>
      <c r="G396" s="20">
        <f t="shared" si="15"/>
        <v>1745065.9952229452</v>
      </c>
      <c r="H396" s="20">
        <v>0</v>
      </c>
      <c r="I396" s="20">
        <v>0</v>
      </c>
      <c r="J396" s="20">
        <v>0</v>
      </c>
      <c r="K396" s="20">
        <v>0</v>
      </c>
      <c r="L396" s="20">
        <f t="shared" si="14"/>
        <v>1745065.9952229452</v>
      </c>
    </row>
    <row r="397" spans="1:12">
      <c r="A397" s="23" t="s">
        <v>1286</v>
      </c>
      <c r="B397" s="19" t="s">
        <v>2174</v>
      </c>
      <c r="C397" s="19" t="e">
        <f>VLOOKUP(A397,'Distribution Detail'!$A$2:$F$558,5,FALSE)</f>
        <v>#N/A</v>
      </c>
      <c r="D397" s="25">
        <v>363626.86</v>
      </c>
      <c r="E397" s="19">
        <v>0.19157392200000001</v>
      </c>
      <c r="F397" s="20">
        <v>363626.86</v>
      </c>
      <c r="G397" s="20">
        <f t="shared" si="15"/>
        <v>1717171.5670140181</v>
      </c>
      <c r="H397" s="20">
        <v>0</v>
      </c>
      <c r="I397" s="20">
        <v>0</v>
      </c>
      <c r="J397" s="20">
        <v>0</v>
      </c>
      <c r="K397" s="20">
        <v>0</v>
      </c>
      <c r="L397" s="20">
        <f t="shared" si="14"/>
        <v>1717171.5670140181</v>
      </c>
    </row>
    <row r="398" spans="1:12">
      <c r="A398" s="23" t="s">
        <v>1288</v>
      </c>
      <c r="B398" s="19" t="s">
        <v>2173</v>
      </c>
      <c r="C398" s="19" t="e">
        <f>VLOOKUP(A398,'Distribution Detail'!$A$2:$F$558,5,FALSE)</f>
        <v>#N/A</v>
      </c>
      <c r="D398" s="25">
        <v>328532.31</v>
      </c>
      <c r="E398" s="19">
        <v>0.79488541999999995</v>
      </c>
      <c r="F398" s="20">
        <v>328532.31</v>
      </c>
      <c r="G398" s="20">
        <f t="shared" si="15"/>
        <v>487945.47845033865</v>
      </c>
      <c r="H398" s="20">
        <v>0</v>
      </c>
      <c r="I398" s="20">
        <v>0</v>
      </c>
      <c r="J398" s="20">
        <v>0</v>
      </c>
      <c r="K398" s="20">
        <v>0</v>
      </c>
      <c r="L398" s="20">
        <f t="shared" si="14"/>
        <v>487945.47845033865</v>
      </c>
    </row>
    <row r="399" spans="1:12">
      <c r="A399" s="23" t="s">
        <v>1290</v>
      </c>
      <c r="B399" s="19" t="s">
        <v>2172</v>
      </c>
      <c r="C399" s="19" t="e">
        <f>VLOOKUP(A399,'Distribution Detail'!$A$2:$F$558,5,FALSE)</f>
        <v>#N/A</v>
      </c>
      <c r="D399" s="25">
        <v>136140.14000000001</v>
      </c>
      <c r="E399" s="19">
        <v>0.143174051</v>
      </c>
      <c r="F399" s="20">
        <v>109624.52</v>
      </c>
      <c r="G399" s="20">
        <f t="shared" si="15"/>
        <v>517684.82886979135</v>
      </c>
      <c r="H399" s="20">
        <v>0</v>
      </c>
      <c r="I399" s="20">
        <v>0</v>
      </c>
      <c r="J399" s="20">
        <v>0</v>
      </c>
      <c r="K399" s="20">
        <v>28810.490837141682</v>
      </c>
      <c r="L399" s="20">
        <f t="shared" si="14"/>
        <v>546495.31970693299</v>
      </c>
    </row>
    <row r="400" spans="1:12">
      <c r="A400" s="23" t="s">
        <v>1292</v>
      </c>
      <c r="B400" s="19" t="s">
        <v>2171</v>
      </c>
      <c r="C400" s="19" t="e">
        <f>VLOOKUP(A400,'Distribution Detail'!$A$2:$F$558,5,FALSE)</f>
        <v>#N/A</v>
      </c>
      <c r="D400" s="25">
        <v>601844.74</v>
      </c>
      <c r="E400" s="19">
        <v>0.30919001499999998</v>
      </c>
      <c r="F400" s="20">
        <v>379689.65</v>
      </c>
      <c r="G400" s="20">
        <f t="shared" si="15"/>
        <v>1449776.4479193869</v>
      </c>
      <c r="H400" s="20">
        <v>0</v>
      </c>
      <c r="I400" s="20">
        <v>0</v>
      </c>
      <c r="J400" s="20">
        <v>0</v>
      </c>
      <c r="K400" s="20">
        <v>241382.14323743462</v>
      </c>
      <c r="L400" s="20">
        <f t="shared" si="14"/>
        <v>1691158.5911568215</v>
      </c>
    </row>
    <row r="401" spans="1:12">
      <c r="A401" s="23" t="s">
        <v>1294</v>
      </c>
      <c r="B401" s="19" t="s">
        <v>2170</v>
      </c>
      <c r="C401" s="19" t="e">
        <f>VLOOKUP(A401,'Distribution Detail'!$A$2:$F$558,5,FALSE)</f>
        <v>#N/A</v>
      </c>
      <c r="D401" s="25">
        <v>415625.63</v>
      </c>
      <c r="E401" s="19">
        <v>0.38133551599999999</v>
      </c>
      <c r="F401" s="20">
        <v>301524.07</v>
      </c>
      <c r="G401" s="20">
        <f t="shared" si="15"/>
        <v>933496.02468291181</v>
      </c>
      <c r="H401" s="20">
        <v>0</v>
      </c>
      <c r="I401" s="20">
        <v>0</v>
      </c>
      <c r="J401" s="20">
        <v>0</v>
      </c>
      <c r="K401" s="20">
        <v>123976.80872193718</v>
      </c>
      <c r="L401" s="20">
        <f t="shared" si="14"/>
        <v>1057472.8334048491</v>
      </c>
    </row>
    <row r="402" spans="1:12">
      <c r="A402" s="23" t="s">
        <v>1296</v>
      </c>
      <c r="B402" s="19" t="s">
        <v>2169</v>
      </c>
      <c r="C402" s="19" t="e">
        <f>VLOOKUP(A402,'Distribution Detail'!$A$2:$F$558,5,FALSE)</f>
        <v>#N/A</v>
      </c>
      <c r="D402" s="25">
        <v>559116.57999999996</v>
      </c>
      <c r="E402" s="19">
        <v>0.39437366899999998</v>
      </c>
      <c r="F402" s="20">
        <v>511805.41</v>
      </c>
      <c r="G402" s="20">
        <f t="shared" si="15"/>
        <v>1532126.7781356606</v>
      </c>
      <c r="H402" s="20">
        <v>0</v>
      </c>
      <c r="I402" s="20">
        <v>0</v>
      </c>
      <c r="J402" s="20">
        <v>0</v>
      </c>
      <c r="K402" s="20">
        <v>51405.851712290809</v>
      </c>
      <c r="L402" s="20">
        <f t="shared" si="14"/>
        <v>1583532.6298479515</v>
      </c>
    </row>
    <row r="403" spans="1:12">
      <c r="A403" s="23" t="s">
        <v>1298</v>
      </c>
      <c r="B403" s="19" t="s">
        <v>2168</v>
      </c>
      <c r="C403" s="19" t="e">
        <f>VLOOKUP(A403,'Distribution Detail'!$A$2:$F$558,5,FALSE)</f>
        <v>#N/A</v>
      </c>
      <c r="D403" s="25">
        <v>572656.31000000006</v>
      </c>
      <c r="E403" s="19">
        <v>0.23483254100000001</v>
      </c>
      <c r="F403" s="20">
        <v>572656.31000000006</v>
      </c>
      <c r="G403" s="20">
        <f t="shared" si="15"/>
        <v>2704280.7926872219</v>
      </c>
      <c r="H403" s="20">
        <v>0</v>
      </c>
      <c r="I403" s="20">
        <v>0</v>
      </c>
      <c r="J403" s="20">
        <v>0</v>
      </c>
      <c r="K403" s="20">
        <v>0</v>
      </c>
      <c r="L403" s="20">
        <f t="shared" si="14"/>
        <v>2704280.7926872219</v>
      </c>
    </row>
    <row r="404" spans="1:12">
      <c r="A404" s="23" t="s">
        <v>1300</v>
      </c>
      <c r="B404" s="19" t="s">
        <v>2167</v>
      </c>
      <c r="C404" s="19" t="e">
        <f>VLOOKUP(A404,'Distribution Detail'!$A$2:$F$558,5,FALSE)</f>
        <v>#N/A</v>
      </c>
      <c r="D404" s="25">
        <v>0</v>
      </c>
      <c r="E404" s="19">
        <v>0.390321107</v>
      </c>
      <c r="F404" s="20">
        <v>0</v>
      </c>
      <c r="G404" s="20">
        <f t="shared" si="15"/>
        <v>0</v>
      </c>
      <c r="H404" s="20">
        <v>0</v>
      </c>
      <c r="I404" s="20">
        <v>0</v>
      </c>
      <c r="J404" s="20">
        <v>0</v>
      </c>
      <c r="K404" s="20">
        <v>0</v>
      </c>
      <c r="L404" s="20">
        <f t="shared" si="14"/>
        <v>0</v>
      </c>
    </row>
    <row r="405" spans="1:12">
      <c r="A405" s="23" t="s">
        <v>1302</v>
      </c>
      <c r="B405" s="19" t="s">
        <v>2034</v>
      </c>
      <c r="C405" s="19" t="e">
        <f>VLOOKUP(A405,'Distribution Detail'!$A$2:$F$558,5,FALSE)</f>
        <v>#N/A</v>
      </c>
      <c r="D405" s="25">
        <v>859271.02</v>
      </c>
      <c r="E405" s="19">
        <v>0.40095841799999998</v>
      </c>
      <c r="F405" s="20">
        <v>845055.82</v>
      </c>
      <c r="G405" s="20">
        <f t="shared" si="15"/>
        <v>2488191.5054253992</v>
      </c>
      <c r="H405" s="20">
        <v>0</v>
      </c>
      <c r="I405" s="20">
        <v>0</v>
      </c>
      <c r="J405" s="20">
        <v>0</v>
      </c>
      <c r="K405" s="20">
        <v>0</v>
      </c>
      <c r="L405" s="20">
        <f t="shared" si="14"/>
        <v>2488191.5054253992</v>
      </c>
    </row>
    <row r="406" spans="1:12">
      <c r="A406" s="23" t="s">
        <v>1304</v>
      </c>
      <c r="B406" s="19" t="s">
        <v>2166</v>
      </c>
      <c r="C406" s="19" t="e">
        <f>VLOOKUP(A406,'Distribution Detail'!$A$2:$F$558,5,FALSE)</f>
        <v>#N/A</v>
      </c>
      <c r="D406" s="25">
        <v>1261021.26</v>
      </c>
      <c r="E406" s="19">
        <v>0.63412519099999998</v>
      </c>
      <c r="F406" s="20">
        <v>1240041.21</v>
      </c>
      <c r="G406" s="20">
        <f t="shared" si="15"/>
        <v>2308654.0218741177</v>
      </c>
      <c r="H406" s="20">
        <v>0</v>
      </c>
      <c r="I406" s="20">
        <v>0</v>
      </c>
      <c r="J406" s="20">
        <v>6082.3320794570745</v>
      </c>
      <c r="K406" s="20">
        <v>0</v>
      </c>
      <c r="L406" s="20">
        <f t="shared" si="14"/>
        <v>2314736.3539535748</v>
      </c>
    </row>
    <row r="407" spans="1:12">
      <c r="A407" s="23" t="s">
        <v>1305</v>
      </c>
      <c r="B407" s="19" t="s">
        <v>2165</v>
      </c>
      <c r="C407" s="19" t="e">
        <f>VLOOKUP(A407,'Distribution Detail'!$A$2:$F$558,5,FALSE)</f>
        <v>#N/A</v>
      </c>
      <c r="D407" s="25">
        <v>217865.01</v>
      </c>
      <c r="E407" s="19">
        <v>0.39487145499999998</v>
      </c>
      <c r="F407" s="20">
        <v>169834.73</v>
      </c>
      <c r="G407" s="20">
        <f t="shared" si="15"/>
        <v>507771.71695469093</v>
      </c>
      <c r="H407" s="20">
        <v>0</v>
      </c>
      <c r="I407" s="20">
        <v>1520.5803034945554</v>
      </c>
      <c r="J407" s="20">
        <v>0</v>
      </c>
      <c r="K407" s="20">
        <v>50666.618858559712</v>
      </c>
      <c r="L407" s="20">
        <f t="shared" si="14"/>
        <v>559958.91611674521</v>
      </c>
    </row>
    <row r="408" spans="1:12">
      <c r="A408" s="23" t="s">
        <v>1307</v>
      </c>
      <c r="B408" s="19" t="s">
        <v>2164</v>
      </c>
      <c r="C408" s="19" t="e">
        <f>VLOOKUP(A408,'Distribution Detail'!$A$2:$F$558,5,FALSE)</f>
        <v>#N/A</v>
      </c>
      <c r="D408" s="25">
        <v>757007.89</v>
      </c>
      <c r="E408" s="19">
        <v>0.39265907</v>
      </c>
      <c r="F408" s="20">
        <v>530346.54</v>
      </c>
      <c r="G408" s="20">
        <f t="shared" si="15"/>
        <v>1594563.6072020486</v>
      </c>
      <c r="H408" s="20">
        <v>0</v>
      </c>
      <c r="I408" s="20">
        <v>0</v>
      </c>
      <c r="J408" s="20">
        <v>0</v>
      </c>
      <c r="K408" s="20">
        <v>246278.41051082962</v>
      </c>
      <c r="L408" s="20">
        <f t="shared" si="14"/>
        <v>1840842.0177128783</v>
      </c>
    </row>
    <row r="409" spans="1:12">
      <c r="A409" s="23" t="s">
        <v>1309</v>
      </c>
      <c r="B409" s="19" t="s">
        <v>2163</v>
      </c>
      <c r="C409" s="19" t="e">
        <f>VLOOKUP(A409,'Distribution Detail'!$A$2:$F$558,5,FALSE)</f>
        <v>#N/A</v>
      </c>
      <c r="D409" s="25">
        <v>344994.67</v>
      </c>
      <c r="E409" s="19">
        <v>0.209673681</v>
      </c>
      <c r="F409" s="20">
        <v>190326.82</v>
      </c>
      <c r="G409" s="20">
        <f t="shared" si="15"/>
        <v>898788.95014574821</v>
      </c>
      <c r="H409" s="20">
        <v>0</v>
      </c>
      <c r="I409" s="20">
        <v>0</v>
      </c>
      <c r="J409" s="20">
        <v>0</v>
      </c>
      <c r="K409" s="20">
        <v>168054.0253339505</v>
      </c>
      <c r="L409" s="20">
        <f t="shared" si="14"/>
        <v>1066842.9754796987</v>
      </c>
    </row>
    <row r="410" spans="1:12">
      <c r="A410" s="23" t="s">
        <v>1311</v>
      </c>
      <c r="B410" s="19" t="s">
        <v>2162</v>
      </c>
      <c r="C410" s="19" t="e">
        <f>VLOOKUP(A410,'Distribution Detail'!$A$2:$F$558,5,FALSE)</f>
        <v>#N/A</v>
      </c>
      <c r="D410" s="25">
        <v>1096470.1000000001</v>
      </c>
      <c r="E410" s="19">
        <v>0.52094019300000005</v>
      </c>
      <c r="F410" s="20">
        <v>1096470.1000000001</v>
      </c>
      <c r="G410" s="20">
        <f t="shared" si="15"/>
        <v>2484887.1395010795</v>
      </c>
      <c r="H410" s="20">
        <v>0</v>
      </c>
      <c r="I410" s="20">
        <v>0</v>
      </c>
      <c r="J410" s="20">
        <v>0</v>
      </c>
      <c r="K410" s="20">
        <v>0</v>
      </c>
      <c r="L410" s="20">
        <f t="shared" si="14"/>
        <v>2484887.1395010795</v>
      </c>
    </row>
    <row r="411" spans="1:12">
      <c r="A411" s="23" t="s">
        <v>1312</v>
      </c>
      <c r="B411" s="19" t="s">
        <v>2161</v>
      </c>
      <c r="C411" s="19" t="e">
        <f>VLOOKUP(A411,'Distribution Detail'!$A$2:$F$558,5,FALSE)</f>
        <v>#N/A</v>
      </c>
      <c r="D411" s="25">
        <v>905173.57</v>
      </c>
      <c r="E411" s="19">
        <v>0.34801648800000001</v>
      </c>
      <c r="F411" s="20">
        <v>900042.21</v>
      </c>
      <c r="G411" s="20">
        <f t="shared" si="15"/>
        <v>3053238.9856159878</v>
      </c>
      <c r="H411" s="20">
        <v>0</v>
      </c>
      <c r="I411" s="20">
        <v>5575.4683564659372</v>
      </c>
      <c r="J411" s="20">
        <v>0</v>
      </c>
      <c r="K411" s="20">
        <v>0</v>
      </c>
      <c r="L411" s="20">
        <f t="shared" si="14"/>
        <v>3058814.4539724537</v>
      </c>
    </row>
    <row r="412" spans="1:12">
      <c r="A412" s="23" t="s">
        <v>1314</v>
      </c>
      <c r="B412" s="19" t="s">
        <v>2160</v>
      </c>
      <c r="C412" s="19" t="e">
        <f>VLOOKUP(A412,'Distribution Detail'!$A$2:$F$558,5,FALSE)</f>
        <v>#N/A</v>
      </c>
      <c r="D412" s="25">
        <v>378878.94</v>
      </c>
      <c r="E412" s="19">
        <v>0.27301301900000002</v>
      </c>
      <c r="F412" s="20">
        <v>378878.94</v>
      </c>
      <c r="G412" s="20">
        <f t="shared" si="15"/>
        <v>1638380.8002721595</v>
      </c>
      <c r="H412" s="20">
        <v>0</v>
      </c>
      <c r="I412" s="20">
        <v>0</v>
      </c>
      <c r="J412" s="20">
        <v>0</v>
      </c>
      <c r="K412" s="20">
        <v>0</v>
      </c>
      <c r="L412" s="20">
        <f t="shared" si="14"/>
        <v>1638380.8002721595</v>
      </c>
    </row>
    <row r="413" spans="1:12">
      <c r="A413" s="23" t="s">
        <v>1316</v>
      </c>
      <c r="B413" s="19" t="s">
        <v>2159</v>
      </c>
      <c r="C413" s="19" t="e">
        <f>VLOOKUP(A413,'Distribution Detail'!$A$2:$F$558,5,FALSE)</f>
        <v>#N/A</v>
      </c>
      <c r="D413" s="25">
        <v>245558.09</v>
      </c>
      <c r="E413" s="19">
        <v>0.19151551</v>
      </c>
      <c r="F413" s="20">
        <v>141345.66</v>
      </c>
      <c r="G413" s="20">
        <f t="shared" si="15"/>
        <v>667483.00296856673</v>
      </c>
      <c r="H413" s="20">
        <v>0</v>
      </c>
      <c r="I413" s="20">
        <v>0</v>
      </c>
      <c r="J413" s="20">
        <v>0</v>
      </c>
      <c r="K413" s="20">
        <v>113231.79543345654</v>
      </c>
      <c r="L413" s="20">
        <f t="shared" si="14"/>
        <v>780714.79840202327</v>
      </c>
    </row>
    <row r="414" spans="1:12">
      <c r="A414" s="23" t="s">
        <v>1318</v>
      </c>
      <c r="B414" s="19" t="s">
        <v>2158</v>
      </c>
      <c r="C414" s="19" t="e">
        <f>VLOOKUP(A414,'Distribution Detail'!$A$2:$F$558,5,FALSE)</f>
        <v>#N/A</v>
      </c>
      <c r="D414" s="25">
        <v>75553.919999999998</v>
      </c>
      <c r="E414" s="19">
        <v>0.45276671200000002</v>
      </c>
      <c r="F414" s="20">
        <v>69043.839999999997</v>
      </c>
      <c r="G414" s="20">
        <f t="shared" si="15"/>
        <v>180031.3713940173</v>
      </c>
      <c r="H414" s="20">
        <v>0</v>
      </c>
      <c r="I414" s="20">
        <v>0</v>
      </c>
      <c r="J414" s="20">
        <v>0</v>
      </c>
      <c r="K414" s="20">
        <v>7073.5136568203698</v>
      </c>
      <c r="L414" s="20">
        <f t="shared" si="14"/>
        <v>187104.88505083768</v>
      </c>
    </row>
    <row r="415" spans="1:12">
      <c r="A415" s="23" t="s">
        <v>1320</v>
      </c>
      <c r="B415" s="19" t="s">
        <v>2157</v>
      </c>
      <c r="C415" s="19" t="e">
        <f>VLOOKUP(A415,'Distribution Detail'!$A$2:$F$558,5,FALSE)</f>
        <v>#N/A</v>
      </c>
      <c r="D415" s="25">
        <v>256148.41</v>
      </c>
      <c r="E415" s="19">
        <v>0.31234385799999997</v>
      </c>
      <c r="F415" s="20">
        <v>256148.41</v>
      </c>
      <c r="G415" s="20">
        <f t="shared" si="15"/>
        <v>968180.73301701597</v>
      </c>
      <c r="H415" s="20">
        <v>0</v>
      </c>
      <c r="I415" s="20">
        <v>0</v>
      </c>
      <c r="J415" s="20">
        <v>0</v>
      </c>
      <c r="K415" s="20">
        <v>0</v>
      </c>
      <c r="L415" s="20">
        <f t="shared" si="14"/>
        <v>968180.73301701597</v>
      </c>
    </row>
    <row r="416" spans="1:12">
      <c r="A416" s="23" t="s">
        <v>1322</v>
      </c>
      <c r="B416" s="19" t="s">
        <v>2156</v>
      </c>
      <c r="C416" s="19" t="e">
        <f>VLOOKUP(A416,'Distribution Detail'!$A$2:$F$558,5,FALSE)</f>
        <v>#N/A</v>
      </c>
      <c r="D416" s="25">
        <v>102490.12</v>
      </c>
      <c r="E416" s="19">
        <v>0.75610837900000005</v>
      </c>
      <c r="F416" s="20">
        <v>102490.12</v>
      </c>
      <c r="G416" s="20">
        <f t="shared" si="15"/>
        <v>160027.89498141178</v>
      </c>
      <c r="H416" s="20">
        <v>0</v>
      </c>
      <c r="I416" s="20">
        <v>0</v>
      </c>
      <c r="J416" s="20">
        <v>0</v>
      </c>
      <c r="K416" s="20">
        <v>0</v>
      </c>
      <c r="L416" s="20">
        <f t="shared" si="14"/>
        <v>160027.89498141178</v>
      </c>
    </row>
    <row r="417" spans="1:12">
      <c r="A417" s="23" t="s">
        <v>1324</v>
      </c>
      <c r="B417" s="19" t="s">
        <v>2155</v>
      </c>
      <c r="C417" s="19" t="e">
        <f>VLOOKUP(A417,'Distribution Detail'!$A$2:$F$558,5,FALSE)</f>
        <v>#N/A</v>
      </c>
      <c r="D417" s="25">
        <v>293765.05</v>
      </c>
      <c r="E417" s="19">
        <v>0.36620006900000002</v>
      </c>
      <c r="F417" s="20">
        <v>212509.65</v>
      </c>
      <c r="G417" s="20">
        <f t="shared" si="15"/>
        <v>685106.32335170801</v>
      </c>
      <c r="H417" s="20">
        <v>0</v>
      </c>
      <c r="I417" s="20">
        <v>0</v>
      </c>
      <c r="J417" s="20">
        <v>0</v>
      </c>
      <c r="K417" s="20">
        <v>88287.883035293242</v>
      </c>
      <c r="L417" s="20">
        <f t="shared" si="14"/>
        <v>773394.20638700121</v>
      </c>
    </row>
    <row r="418" spans="1:12">
      <c r="A418" s="23" t="s">
        <v>1326</v>
      </c>
      <c r="B418" s="19" t="s">
        <v>2034</v>
      </c>
      <c r="C418" s="19" t="e">
        <f>VLOOKUP(A418,'Distribution Detail'!$A$2:$F$558,5,FALSE)</f>
        <v>#N/A</v>
      </c>
      <c r="D418" s="25">
        <v>246716.48</v>
      </c>
      <c r="E418" s="19">
        <v>0.40188095899999998</v>
      </c>
      <c r="F418" s="20">
        <v>196498.26</v>
      </c>
      <c r="G418" s="20">
        <f t="shared" si="15"/>
        <v>577243.45953541773</v>
      </c>
      <c r="H418" s="20">
        <v>0</v>
      </c>
      <c r="I418" s="20">
        <v>0</v>
      </c>
      <c r="J418" s="20">
        <v>0</v>
      </c>
      <c r="K418" s="20">
        <v>54564.500742112206</v>
      </c>
      <c r="L418" s="20">
        <f t="shared" si="14"/>
        <v>631807.9602775299</v>
      </c>
    </row>
    <row r="419" spans="1:12">
      <c r="A419" s="23" t="s">
        <v>1327</v>
      </c>
      <c r="B419" s="19" t="s">
        <v>2154</v>
      </c>
      <c r="C419" s="19" t="e">
        <f>VLOOKUP(A419,'Distribution Detail'!$A$2:$F$558,5,FALSE)</f>
        <v>#N/A</v>
      </c>
      <c r="D419" s="25">
        <v>891736.9</v>
      </c>
      <c r="E419" s="19">
        <v>0.49440130300000001</v>
      </c>
      <c r="F419" s="20">
        <v>649814.42000000004</v>
      </c>
      <c r="G419" s="20">
        <f t="shared" si="15"/>
        <v>1551698.9976613841</v>
      </c>
      <c r="H419" s="20">
        <v>0</v>
      </c>
      <c r="I419" s="20">
        <v>0</v>
      </c>
      <c r="J419" s="20">
        <v>0</v>
      </c>
      <c r="K419" s="20">
        <v>262860.35903888324</v>
      </c>
      <c r="L419" s="20">
        <f t="shared" si="14"/>
        <v>1814559.3567002672</v>
      </c>
    </row>
    <row r="420" spans="1:12">
      <c r="A420" s="23" t="s">
        <v>1329</v>
      </c>
      <c r="B420" s="19" t="s">
        <v>2153</v>
      </c>
      <c r="C420" s="19" t="e">
        <f>VLOOKUP(A420,'Distribution Detail'!$A$2:$F$558,5,FALSE)</f>
        <v>#N/A</v>
      </c>
      <c r="D420" s="25">
        <v>231141.21</v>
      </c>
      <c r="E420" s="19">
        <v>0.321945431</v>
      </c>
      <c r="F420" s="20">
        <v>137932.13</v>
      </c>
      <c r="G420" s="20">
        <f t="shared" si="15"/>
        <v>505802.43819579104</v>
      </c>
      <c r="H420" s="20">
        <v>0</v>
      </c>
      <c r="I420" s="20">
        <v>0</v>
      </c>
      <c r="J420" s="20">
        <v>0</v>
      </c>
      <c r="K420" s="20">
        <v>101276.1287602706</v>
      </c>
      <c r="L420" s="20">
        <f t="shared" si="14"/>
        <v>607078.56695606164</v>
      </c>
    </row>
    <row r="421" spans="1:12">
      <c r="A421" s="23" t="s">
        <v>1330</v>
      </c>
      <c r="B421" s="19" t="s">
        <v>2152</v>
      </c>
      <c r="C421" s="19" t="e">
        <f>VLOOKUP(A421,'Distribution Detail'!$A$2:$F$558,5,FALSE)</f>
        <v>#N/A</v>
      </c>
      <c r="D421" s="25">
        <v>595469.56999999995</v>
      </c>
      <c r="E421" s="19">
        <v>0.424642884</v>
      </c>
      <c r="F421" s="20">
        <v>385789.93</v>
      </c>
      <c r="G421" s="20">
        <f t="shared" si="15"/>
        <v>1072567.858491122</v>
      </c>
      <c r="H421" s="20">
        <v>0</v>
      </c>
      <c r="I421" s="20">
        <v>0</v>
      </c>
      <c r="J421" s="20">
        <v>0</v>
      </c>
      <c r="K421" s="20">
        <v>227826.96942236944</v>
      </c>
      <c r="L421" s="20">
        <f t="shared" si="14"/>
        <v>1300394.8279134915</v>
      </c>
    </row>
    <row r="422" spans="1:12">
      <c r="A422" s="23" t="s">
        <v>1332</v>
      </c>
      <c r="B422" s="19" t="s">
        <v>2151</v>
      </c>
      <c r="C422" s="19" t="e">
        <f>VLOOKUP(A422,'Distribution Detail'!$A$2:$F$558,5,FALSE)</f>
        <v>#N/A</v>
      </c>
      <c r="D422" s="25">
        <v>381379.92</v>
      </c>
      <c r="E422" s="19">
        <v>0.41052186699999998</v>
      </c>
      <c r="F422" s="20">
        <v>340875.77</v>
      </c>
      <c r="G422" s="20">
        <f t="shared" si="15"/>
        <v>980296.7850953117</v>
      </c>
      <c r="H422" s="20">
        <v>0</v>
      </c>
      <c r="I422" s="20">
        <v>0</v>
      </c>
      <c r="J422" s="20">
        <v>0</v>
      </c>
      <c r="K422" s="20">
        <v>43593.550686372299</v>
      </c>
      <c r="L422" s="20">
        <f t="shared" si="14"/>
        <v>1023890.335781684</v>
      </c>
    </row>
    <row r="423" spans="1:12">
      <c r="A423" s="23" t="s">
        <v>1334</v>
      </c>
      <c r="B423" s="19" t="s">
        <v>2150</v>
      </c>
      <c r="C423" s="19" t="e">
        <f>VLOOKUP(A423,'Distribution Detail'!$A$2:$F$558,5,FALSE)</f>
        <v>#N/A</v>
      </c>
      <c r="D423" s="25">
        <v>272772.65000000002</v>
      </c>
      <c r="E423" s="19">
        <v>0.32973794699999998</v>
      </c>
      <c r="F423" s="20">
        <v>167046.97</v>
      </c>
      <c r="G423" s="20">
        <f t="shared" si="15"/>
        <v>598091.20300823974</v>
      </c>
      <c r="H423" s="20">
        <v>0</v>
      </c>
      <c r="I423" s="20">
        <v>0</v>
      </c>
      <c r="J423" s="20">
        <v>0</v>
      </c>
      <c r="K423" s="20">
        <v>114876.01402081391</v>
      </c>
      <c r="L423" s="20">
        <f t="shared" si="14"/>
        <v>712967.2170290536</v>
      </c>
    </row>
    <row r="424" spans="1:12">
      <c r="A424" s="23" t="s">
        <v>1335</v>
      </c>
      <c r="B424" s="19" t="s">
        <v>2149</v>
      </c>
      <c r="C424" s="19" t="e">
        <f>VLOOKUP(A424,'Distribution Detail'!$A$2:$F$558,5,FALSE)</f>
        <v>#N/A</v>
      </c>
      <c r="D424" s="25">
        <v>748620.4</v>
      </c>
      <c r="E424" s="19">
        <v>0.40848107299999997</v>
      </c>
      <c r="F424" s="20">
        <v>504916.25</v>
      </c>
      <c r="G424" s="20">
        <f t="shared" si="15"/>
        <v>1459301.9121455217</v>
      </c>
      <c r="H424" s="20">
        <v>0</v>
      </c>
      <c r="I424" s="20">
        <v>0</v>
      </c>
      <c r="J424" s="20">
        <v>0</v>
      </c>
      <c r="K424" s="20">
        <v>264796.22880959988</v>
      </c>
      <c r="L424" s="20">
        <f t="shared" si="14"/>
        <v>1724098.1409551217</v>
      </c>
    </row>
    <row r="425" spans="1:12">
      <c r="A425" s="23" t="s">
        <v>1337</v>
      </c>
      <c r="B425" s="19" t="s">
        <v>2148</v>
      </c>
      <c r="C425" s="19" t="e">
        <f>VLOOKUP(A425,'Distribution Detail'!$A$2:$F$558,5,FALSE)</f>
        <v>#N/A</v>
      </c>
      <c r="D425" s="25">
        <v>692358</v>
      </c>
      <c r="E425" s="19">
        <v>0.43729585599999998</v>
      </c>
      <c r="F425" s="20">
        <v>465381.17</v>
      </c>
      <c r="G425" s="20">
        <f t="shared" si="15"/>
        <v>1256409.4291626869</v>
      </c>
      <c r="H425" s="20">
        <v>0</v>
      </c>
      <c r="I425" s="20">
        <v>0</v>
      </c>
      <c r="J425" s="20">
        <v>0</v>
      </c>
      <c r="K425" s="20">
        <v>246621.19463766887</v>
      </c>
      <c r="L425" s="20">
        <f t="shared" si="14"/>
        <v>1503030.6238003557</v>
      </c>
    </row>
    <row r="426" spans="1:12">
      <c r="A426" s="23" t="s">
        <v>1339</v>
      </c>
      <c r="B426" s="19" t="s">
        <v>2147</v>
      </c>
      <c r="C426" s="19" t="e">
        <f>VLOOKUP(A426,'Distribution Detail'!$A$2:$F$558,5,FALSE)</f>
        <v>#N/A</v>
      </c>
      <c r="D426" s="25">
        <v>481927.57</v>
      </c>
      <c r="E426" s="19">
        <v>0.282014088</v>
      </c>
      <c r="F426" s="20">
        <v>365462.55</v>
      </c>
      <c r="G426" s="20">
        <f t="shared" si="15"/>
        <v>1529923.8605104752</v>
      </c>
      <c r="H426" s="20">
        <v>0</v>
      </c>
      <c r="I426" s="20">
        <v>0</v>
      </c>
      <c r="J426" s="20">
        <v>0</v>
      </c>
      <c r="K426" s="20">
        <v>126544.82118681453</v>
      </c>
      <c r="L426" s="20">
        <f t="shared" si="14"/>
        <v>1656468.6816972897</v>
      </c>
    </row>
    <row r="427" spans="1:12">
      <c r="A427" s="23" t="s">
        <v>1340</v>
      </c>
      <c r="B427" s="19" t="s">
        <v>2146</v>
      </c>
      <c r="C427" s="19" t="e">
        <f>VLOOKUP(A427,'Distribution Detail'!$A$2:$F$558,5,FALSE)</f>
        <v>#N/A</v>
      </c>
      <c r="D427" s="25">
        <v>885322.68</v>
      </c>
      <c r="E427" s="19">
        <v>0.32239568200000002</v>
      </c>
      <c r="F427" s="20">
        <v>596460.81999999995</v>
      </c>
      <c r="G427" s="20">
        <f t="shared" si="15"/>
        <v>2184190.161459256</v>
      </c>
      <c r="H427" s="20">
        <v>0</v>
      </c>
      <c r="I427" s="20">
        <v>0</v>
      </c>
      <c r="J427" s="20">
        <v>0</v>
      </c>
      <c r="K427" s="20">
        <v>313862.24311291624</v>
      </c>
      <c r="L427" s="20">
        <f t="shared" si="14"/>
        <v>2498052.4045721721</v>
      </c>
    </row>
    <row r="428" spans="1:12">
      <c r="A428" s="23" t="s">
        <v>1342</v>
      </c>
      <c r="B428" s="19" t="s">
        <v>2126</v>
      </c>
      <c r="C428" s="19" t="e">
        <f>VLOOKUP(A428,'Distribution Detail'!$A$2:$F$558,5,FALSE)</f>
        <v>#N/A</v>
      </c>
      <c r="D428" s="25">
        <v>658826.72</v>
      </c>
      <c r="E428" s="19">
        <v>0.13613900300000001</v>
      </c>
      <c r="F428" s="20">
        <v>553897.23</v>
      </c>
      <c r="G428" s="20">
        <f t="shared" si="15"/>
        <v>2615693.940771658</v>
      </c>
      <c r="H428" s="20">
        <v>0</v>
      </c>
      <c r="I428" s="20">
        <v>0</v>
      </c>
      <c r="J428" s="20">
        <v>1520.5803034945554</v>
      </c>
      <c r="K428" s="20">
        <v>112490.33515656069</v>
      </c>
      <c r="L428" s="20">
        <f t="shared" si="14"/>
        <v>2729704.8562317132</v>
      </c>
    </row>
    <row r="429" spans="1:12">
      <c r="A429" s="23" t="s">
        <v>1344</v>
      </c>
      <c r="B429" s="19" t="s">
        <v>2107</v>
      </c>
      <c r="C429" s="19" t="e">
        <f>VLOOKUP(A429,'Distribution Detail'!$A$2:$F$558,5,FALSE)</f>
        <v>#N/A</v>
      </c>
      <c r="D429" s="25">
        <v>375885.48</v>
      </c>
      <c r="E429" s="19">
        <v>0.62572050999999995</v>
      </c>
      <c r="F429" s="20">
        <v>272623.19</v>
      </c>
      <c r="G429" s="20">
        <f t="shared" si="15"/>
        <v>514375.34798042424</v>
      </c>
      <c r="H429" s="20">
        <v>0</v>
      </c>
      <c r="I429" s="20">
        <v>0</v>
      </c>
      <c r="J429" s="20">
        <v>0</v>
      </c>
      <c r="K429" s="20">
        <v>112199.42282576335</v>
      </c>
      <c r="L429" s="20">
        <f t="shared" si="14"/>
        <v>626574.77080618753</v>
      </c>
    </row>
    <row r="430" spans="1:12">
      <c r="A430" s="23" t="s">
        <v>1345</v>
      </c>
      <c r="B430" s="19" t="s">
        <v>2145</v>
      </c>
      <c r="C430" s="19" t="e">
        <f>VLOOKUP(A430,'Distribution Detail'!$A$2:$F$558,5,FALSE)</f>
        <v>#N/A</v>
      </c>
      <c r="D430" s="25">
        <v>1381366.25</v>
      </c>
      <c r="E430" s="19">
        <v>0.729453935</v>
      </c>
      <c r="F430" s="20">
        <v>1055277.83</v>
      </c>
      <c r="G430" s="20">
        <f t="shared" si="15"/>
        <v>1707916.6981543775</v>
      </c>
      <c r="H430" s="20">
        <v>0</v>
      </c>
      <c r="I430" s="20">
        <v>0</v>
      </c>
      <c r="J430" s="20">
        <v>0</v>
      </c>
      <c r="K430" s="20">
        <v>354310.68315611733</v>
      </c>
      <c r="L430" s="20">
        <f t="shared" si="14"/>
        <v>2062227.3813104948</v>
      </c>
    </row>
    <row r="431" spans="1:12">
      <c r="A431" s="23" t="s">
        <v>1347</v>
      </c>
      <c r="B431" s="19" t="s">
        <v>2111</v>
      </c>
      <c r="C431" s="19" t="e">
        <f>VLOOKUP(A431,'Distribution Detail'!$A$2:$F$558,5,FALSE)</f>
        <v>#N/A</v>
      </c>
      <c r="D431" s="25">
        <v>346142.45</v>
      </c>
      <c r="E431" s="19">
        <v>0.578728625</v>
      </c>
      <c r="F431" s="20">
        <v>249814.36</v>
      </c>
      <c r="G431" s="20">
        <f t="shared" si="15"/>
        <v>509612.62317773898</v>
      </c>
      <c r="H431" s="20">
        <v>0</v>
      </c>
      <c r="I431" s="20">
        <v>0</v>
      </c>
      <c r="J431" s="20">
        <v>0</v>
      </c>
      <c r="K431" s="20">
        <v>104665.08247984997</v>
      </c>
      <c r="L431" s="20">
        <f t="shared" si="14"/>
        <v>614277.7056575889</v>
      </c>
    </row>
    <row r="432" spans="1:12">
      <c r="A432" s="23" t="s">
        <v>1348</v>
      </c>
      <c r="B432" s="19" t="s">
        <v>2144</v>
      </c>
      <c r="C432" s="19" t="e">
        <f>VLOOKUP(A432,'Distribution Detail'!$A$2:$F$558,5,FALSE)</f>
        <v>#N/A</v>
      </c>
      <c r="D432" s="25">
        <v>237719.1</v>
      </c>
      <c r="E432" s="19">
        <v>0.45353743299999999</v>
      </c>
      <c r="F432" s="20">
        <v>182372.87</v>
      </c>
      <c r="G432" s="20">
        <f t="shared" si="15"/>
        <v>474727.98806512123</v>
      </c>
      <c r="H432" s="20">
        <v>0</v>
      </c>
      <c r="I432" s="20">
        <v>0</v>
      </c>
      <c r="J432" s="20">
        <v>0</v>
      </c>
      <c r="K432" s="20">
        <v>60136.329163162554</v>
      </c>
      <c r="L432" s="20">
        <f t="shared" si="14"/>
        <v>534864.31722828373</v>
      </c>
    </row>
    <row r="433" spans="1:12">
      <c r="A433" s="23" t="s">
        <v>1350</v>
      </c>
      <c r="B433" s="19" t="s">
        <v>2143</v>
      </c>
      <c r="C433" s="19" t="e">
        <f>VLOOKUP(A433,'Distribution Detail'!$A$2:$F$558,5,FALSE)</f>
        <v>#N/A</v>
      </c>
      <c r="D433" s="25">
        <v>352849.62</v>
      </c>
      <c r="E433" s="19">
        <v>0.38068253800000001</v>
      </c>
      <c r="F433" s="20">
        <v>215312.69</v>
      </c>
      <c r="G433" s="20">
        <f t="shared" si="15"/>
        <v>667735.41770794755</v>
      </c>
      <c r="H433" s="20">
        <v>0</v>
      </c>
      <c r="I433" s="20">
        <v>0</v>
      </c>
      <c r="J433" s="20">
        <v>0</v>
      </c>
      <c r="K433" s="20">
        <v>149440.46043553186</v>
      </c>
      <c r="L433" s="20">
        <f t="shared" si="14"/>
        <v>817175.87814347935</v>
      </c>
    </row>
    <row r="434" spans="1:12">
      <c r="A434" s="23" t="s">
        <v>1352</v>
      </c>
      <c r="B434" s="19" t="s">
        <v>1353</v>
      </c>
      <c r="C434" s="19" t="e">
        <f>VLOOKUP(A434,'Distribution Detail'!$A$2:$F$558,5,FALSE)</f>
        <v>#N/A</v>
      </c>
      <c r="D434" s="25">
        <v>178468.98</v>
      </c>
      <c r="E434" s="19">
        <v>0.44840445800000001</v>
      </c>
      <c r="F434" s="20">
        <v>142238.99</v>
      </c>
      <c r="G434" s="20">
        <f t="shared" si="15"/>
        <v>374495.39341494482</v>
      </c>
      <c r="H434" s="20">
        <v>0</v>
      </c>
      <c r="I434" s="20">
        <v>0</v>
      </c>
      <c r="J434" s="20">
        <v>0</v>
      </c>
      <c r="K434" s="20">
        <v>39365.619017195706</v>
      </c>
      <c r="L434" s="20">
        <f t="shared" si="14"/>
        <v>413861.01243214053</v>
      </c>
    </row>
    <row r="435" spans="1:12">
      <c r="A435" s="23" t="s">
        <v>1354</v>
      </c>
      <c r="B435" s="19" t="s">
        <v>2142</v>
      </c>
      <c r="C435" s="19" t="e">
        <f>VLOOKUP(A435,'Distribution Detail'!$A$2:$F$558,5,FALSE)</f>
        <v>#N/A</v>
      </c>
      <c r="D435" s="25">
        <v>230324.64</v>
      </c>
      <c r="E435" s="19">
        <v>0.48197113899999999</v>
      </c>
      <c r="F435" s="20">
        <v>172222.4</v>
      </c>
      <c r="G435" s="20">
        <f t="shared" si="15"/>
        <v>421858.05484350998</v>
      </c>
      <c r="H435" s="20">
        <v>0</v>
      </c>
      <c r="I435" s="20">
        <v>0</v>
      </c>
      <c r="J435" s="20">
        <v>0</v>
      </c>
      <c r="K435" s="20">
        <v>63130.866000395501</v>
      </c>
      <c r="L435" s="20">
        <f t="shared" si="14"/>
        <v>484988.92084390548</v>
      </c>
    </row>
    <row r="436" spans="1:12">
      <c r="A436" s="23" t="s">
        <v>1356</v>
      </c>
      <c r="B436" s="19" t="s">
        <v>2141</v>
      </c>
      <c r="C436" s="19" t="e">
        <f>VLOOKUP(A436,'Distribution Detail'!$A$2:$F$558,5,FALSE)</f>
        <v>#N/A</v>
      </c>
      <c r="D436" s="25">
        <v>580847.69999999995</v>
      </c>
      <c r="E436" s="19">
        <v>0.587204685</v>
      </c>
      <c r="F436" s="20">
        <v>549490.61</v>
      </c>
      <c r="G436" s="20">
        <f t="shared" si="15"/>
        <v>1104761.4341854295</v>
      </c>
      <c r="H436" s="20">
        <v>0</v>
      </c>
      <c r="I436" s="20">
        <v>0</v>
      </c>
      <c r="J436" s="20">
        <v>0</v>
      </c>
      <c r="K436" s="20">
        <v>34070.979827151961</v>
      </c>
      <c r="L436" s="20">
        <f t="shared" si="14"/>
        <v>1138832.4140125813</v>
      </c>
    </row>
    <row r="437" spans="1:12">
      <c r="A437" s="23" t="s">
        <v>1358</v>
      </c>
      <c r="B437" s="19" t="s">
        <v>2140</v>
      </c>
      <c r="C437" s="19" t="e">
        <f>VLOOKUP(A437,'Distribution Detail'!$A$2:$F$558,5,FALSE)</f>
        <v>#N/A</v>
      </c>
      <c r="D437" s="25">
        <v>496758.63</v>
      </c>
      <c r="E437" s="19">
        <v>0.40885913000000002</v>
      </c>
      <c r="F437" s="20">
        <v>327245.76</v>
      </c>
      <c r="G437" s="20">
        <f t="shared" si="15"/>
        <v>944926.58941454475</v>
      </c>
      <c r="H437" s="20">
        <v>0</v>
      </c>
      <c r="I437" s="20">
        <v>0</v>
      </c>
      <c r="J437" s="20">
        <v>0</v>
      </c>
      <c r="K437" s="20">
        <v>184183.85042147193</v>
      </c>
      <c r="L437" s="20">
        <f t="shared" si="14"/>
        <v>1129110.4398360166</v>
      </c>
    </row>
    <row r="438" spans="1:12">
      <c r="A438" s="23" t="s">
        <v>1360</v>
      </c>
      <c r="B438" s="19" t="s">
        <v>2139</v>
      </c>
      <c r="C438" s="19" t="e">
        <f>VLOOKUP(A438,'Distribution Detail'!$A$2:$F$558,5,FALSE)</f>
        <v>#N/A</v>
      </c>
      <c r="D438" s="25">
        <v>164610.85</v>
      </c>
      <c r="E438" s="19">
        <v>0.45404171599999998</v>
      </c>
      <c r="F438" s="20">
        <v>115645.37</v>
      </c>
      <c r="G438" s="20">
        <f t="shared" si="15"/>
        <v>300697.78937144898</v>
      </c>
      <c r="H438" s="20">
        <v>0</v>
      </c>
      <c r="I438" s="20">
        <v>0</v>
      </c>
      <c r="J438" s="20">
        <v>0</v>
      </c>
      <c r="K438" s="20">
        <v>53203.338744341803</v>
      </c>
      <c r="L438" s="20">
        <f t="shared" si="14"/>
        <v>353901.12811579078</v>
      </c>
    </row>
    <row r="439" spans="1:12">
      <c r="A439" s="23" t="s">
        <v>1362</v>
      </c>
      <c r="B439" s="19" t="s">
        <v>2138</v>
      </c>
      <c r="C439" s="19" t="e">
        <f>VLOOKUP(A439,'Distribution Detail'!$A$2:$F$558,5,FALSE)</f>
        <v>#N/A</v>
      </c>
      <c r="D439" s="25">
        <v>1504326.46</v>
      </c>
      <c r="E439" s="19">
        <v>0.279316018</v>
      </c>
      <c r="F439" s="20">
        <v>790802.19</v>
      </c>
      <c r="G439" s="20">
        <f t="shared" si="15"/>
        <v>3342487.2791088237</v>
      </c>
      <c r="H439" s="20">
        <v>0</v>
      </c>
      <c r="I439" s="20">
        <v>0</v>
      </c>
      <c r="J439" s="20">
        <v>0</v>
      </c>
      <c r="K439" s="20">
        <v>775278.28664437076</v>
      </c>
      <c r="L439" s="20">
        <f t="shared" si="14"/>
        <v>4117765.5657531945</v>
      </c>
    </row>
    <row r="440" spans="1:12">
      <c r="A440" s="23" t="s">
        <v>1363</v>
      </c>
      <c r="B440" s="19" t="s">
        <v>2137</v>
      </c>
      <c r="C440" s="19" t="e">
        <f>VLOOKUP(A440,'Distribution Detail'!$A$2:$F$558,5,FALSE)</f>
        <v>#N/A</v>
      </c>
      <c r="D440" s="25">
        <v>350634.44</v>
      </c>
      <c r="E440" s="19">
        <v>0.50555910000000004</v>
      </c>
      <c r="F440" s="20">
        <v>326398.28000000003</v>
      </c>
      <c r="G440" s="20">
        <f t="shared" si="15"/>
        <v>762208.29568390315</v>
      </c>
      <c r="H440" s="20">
        <v>0</v>
      </c>
      <c r="I440" s="20">
        <v>0</v>
      </c>
      <c r="J440" s="20">
        <v>0</v>
      </c>
      <c r="K440" s="20">
        <v>26333.748394625498</v>
      </c>
      <c r="L440" s="20">
        <f t="shared" si="14"/>
        <v>788542.04407852865</v>
      </c>
    </row>
    <row r="441" spans="1:12">
      <c r="A441" s="23" t="s">
        <v>1365</v>
      </c>
      <c r="B441" s="19" t="s">
        <v>2136</v>
      </c>
      <c r="C441" s="19" t="e">
        <f>VLOOKUP(A441,'Distribution Detail'!$A$2:$F$558,5,FALSE)</f>
        <v>#N/A</v>
      </c>
      <c r="D441" s="25">
        <v>221158.8</v>
      </c>
      <c r="E441" s="19">
        <v>0.41630874200000001</v>
      </c>
      <c r="F441" s="20">
        <v>201970.86</v>
      </c>
      <c r="G441" s="20">
        <f t="shared" si="15"/>
        <v>572757.68597230187</v>
      </c>
      <c r="H441" s="20">
        <v>0</v>
      </c>
      <c r="I441" s="20">
        <v>0</v>
      </c>
      <c r="J441" s="20">
        <v>0</v>
      </c>
      <c r="K441" s="20">
        <v>20004.574366596913</v>
      </c>
      <c r="L441" s="20">
        <f t="shared" si="14"/>
        <v>592762.26033889875</v>
      </c>
    </row>
    <row r="442" spans="1:12">
      <c r="A442" s="23" t="s">
        <v>1367</v>
      </c>
      <c r="B442" s="19" t="s">
        <v>2135</v>
      </c>
      <c r="C442" s="19" t="e">
        <f>VLOOKUP(A442,'Distribution Detail'!$A$2:$F$558,5,FALSE)</f>
        <v>#N/A</v>
      </c>
      <c r="D442" s="25">
        <v>1308185.45</v>
      </c>
      <c r="E442" s="19">
        <v>0.83726933199999998</v>
      </c>
      <c r="F442" s="20">
        <v>1275619.6399999999</v>
      </c>
      <c r="G442" s="20">
        <f t="shared" si="15"/>
        <v>1798679.3762732181</v>
      </c>
      <c r="H442" s="20">
        <v>6031.6446206100745</v>
      </c>
      <c r="I442" s="20">
        <v>3041.1606069891109</v>
      </c>
      <c r="J442" s="20">
        <v>0</v>
      </c>
      <c r="K442" s="20">
        <v>0</v>
      </c>
      <c r="L442" s="20">
        <f t="shared" si="14"/>
        <v>1807752.1815008174</v>
      </c>
    </row>
    <row r="443" spans="1:12">
      <c r="A443" s="23" t="s">
        <v>1369</v>
      </c>
      <c r="B443" s="19" t="s">
        <v>2134</v>
      </c>
      <c r="C443" s="19" t="e">
        <f>VLOOKUP(A443,'Distribution Detail'!$A$2:$F$558,5,FALSE)</f>
        <v>#N/A</v>
      </c>
      <c r="D443" s="25">
        <v>1412547.59</v>
      </c>
      <c r="E443" s="19">
        <v>0.80975682100000002</v>
      </c>
      <c r="F443" s="20">
        <v>1411241.43</v>
      </c>
      <c r="G443" s="20">
        <f t="shared" si="15"/>
        <v>2057521.7952401305</v>
      </c>
      <c r="H443" s="20">
        <v>1419.2053858005577</v>
      </c>
      <c r="I443" s="20">
        <v>0</v>
      </c>
      <c r="J443" s="20">
        <v>0</v>
      </c>
      <c r="K443" s="20">
        <v>0</v>
      </c>
      <c r="L443" s="20">
        <f t="shared" si="14"/>
        <v>2058941.000625931</v>
      </c>
    </row>
    <row r="444" spans="1:12">
      <c r="A444" s="23" t="s">
        <v>1371</v>
      </c>
      <c r="B444" s="19" t="s">
        <v>2133</v>
      </c>
      <c r="C444" s="19" t="e">
        <f>VLOOKUP(A444,'Distribution Detail'!$A$2:$F$558,5,FALSE)</f>
        <v>#N/A</v>
      </c>
      <c r="D444" s="25">
        <v>304372.31</v>
      </c>
      <c r="E444" s="19">
        <v>0.64587669999999997</v>
      </c>
      <c r="F444" s="20">
        <v>272971.71999999997</v>
      </c>
      <c r="G444" s="20">
        <f t="shared" si="15"/>
        <v>498960.05664130341</v>
      </c>
      <c r="H444" s="20">
        <v>0</v>
      </c>
      <c r="I444" s="20">
        <v>0</v>
      </c>
      <c r="J444" s="20">
        <v>0</v>
      </c>
      <c r="K444" s="20">
        <v>34118.244660160417</v>
      </c>
      <c r="L444" s="20">
        <f t="shared" si="14"/>
        <v>533078.30130146386</v>
      </c>
    </row>
    <row r="445" spans="1:12">
      <c r="A445" s="23" t="s">
        <v>1373</v>
      </c>
      <c r="B445" s="19" t="s">
        <v>2132</v>
      </c>
      <c r="C445" s="19" t="e">
        <f>VLOOKUP(A445,'Distribution Detail'!$A$2:$F$558,5,FALSE)</f>
        <v>#N/A</v>
      </c>
      <c r="D445" s="25">
        <v>1325847.1200000001</v>
      </c>
      <c r="E445" s="19">
        <v>0.56236511899999997</v>
      </c>
      <c r="F445" s="20">
        <v>1323748.43</v>
      </c>
      <c r="G445" s="20">
        <f t="shared" si="15"/>
        <v>2778976.1802390497</v>
      </c>
      <c r="H445" s="20">
        <v>0</v>
      </c>
      <c r="I445" s="20">
        <v>0</v>
      </c>
      <c r="J445" s="20">
        <v>0</v>
      </c>
      <c r="K445" s="20">
        <v>0</v>
      </c>
      <c r="L445" s="20">
        <f t="shared" si="14"/>
        <v>2778976.1802390497</v>
      </c>
    </row>
    <row r="446" spans="1:12">
      <c r="A446" s="23" t="s">
        <v>1375</v>
      </c>
      <c r="B446" s="19" t="s">
        <v>2131</v>
      </c>
      <c r="C446" s="19" t="e">
        <f>VLOOKUP(A446,'Distribution Detail'!$A$2:$F$558,5,FALSE)</f>
        <v>#N/A</v>
      </c>
      <c r="D446" s="25">
        <v>589473.37</v>
      </c>
      <c r="E446" s="19">
        <v>0.71860257500000002</v>
      </c>
      <c r="F446" s="20">
        <v>575906.21</v>
      </c>
      <c r="G446" s="20">
        <f t="shared" si="15"/>
        <v>946151.61323454313</v>
      </c>
      <c r="H446" s="20">
        <v>709.60269290027884</v>
      </c>
      <c r="I446" s="20">
        <v>4561.7517759625189</v>
      </c>
      <c r="J446" s="20">
        <v>0</v>
      </c>
      <c r="K446" s="20">
        <v>0</v>
      </c>
      <c r="L446" s="20">
        <f t="shared" si="14"/>
        <v>951422.96770340588</v>
      </c>
    </row>
    <row r="447" spans="1:12">
      <c r="A447" s="23" t="s">
        <v>1376</v>
      </c>
      <c r="B447" s="19" t="s">
        <v>2130</v>
      </c>
      <c r="C447" s="19" t="e">
        <f>VLOOKUP(A447,'Distribution Detail'!$A$2:$F$558,5,FALSE)</f>
        <v>#N/A</v>
      </c>
      <c r="D447" s="25">
        <v>640088.12</v>
      </c>
      <c r="E447" s="19">
        <v>0.52811242599999997</v>
      </c>
      <c r="F447" s="20">
        <v>533907.61</v>
      </c>
      <c r="G447" s="20">
        <f t="shared" si="15"/>
        <v>1193541.3417821666</v>
      </c>
      <c r="H447" s="20">
        <v>0</v>
      </c>
      <c r="I447" s="20">
        <v>0</v>
      </c>
      <c r="J447" s="20">
        <v>0</v>
      </c>
      <c r="K447" s="20">
        <v>115370.208595463</v>
      </c>
      <c r="L447" s="20">
        <f t="shared" si="14"/>
        <v>1308911.5503776297</v>
      </c>
    </row>
    <row r="448" spans="1:12">
      <c r="A448" s="23" t="s">
        <v>1378</v>
      </c>
      <c r="B448" s="19" t="s">
        <v>2129</v>
      </c>
      <c r="C448" s="19" t="e">
        <f>VLOOKUP(A448,'Distribution Detail'!$A$2:$F$558,5,FALSE)</f>
        <v>#N/A</v>
      </c>
      <c r="D448" s="25">
        <v>1039741.24</v>
      </c>
      <c r="E448" s="19">
        <v>0.63645732700000002</v>
      </c>
      <c r="F448" s="20">
        <v>1039147.44</v>
      </c>
      <c r="G448" s="20">
        <f t="shared" si="15"/>
        <v>1927549.8710084469</v>
      </c>
      <c r="H448" s="20">
        <v>0</v>
      </c>
      <c r="I448" s="20">
        <v>0</v>
      </c>
      <c r="J448" s="20">
        <v>0</v>
      </c>
      <c r="K448" s="20">
        <v>0</v>
      </c>
      <c r="L448" s="20">
        <f t="shared" si="14"/>
        <v>1927549.8710084469</v>
      </c>
    </row>
    <row r="449" spans="1:12">
      <c r="A449" s="23" t="s">
        <v>1380</v>
      </c>
      <c r="B449" s="19" t="s">
        <v>2128</v>
      </c>
      <c r="C449" s="19" t="e">
        <f>VLOOKUP(A449,'Distribution Detail'!$A$2:$F$558,5,FALSE)</f>
        <v>#N/A</v>
      </c>
      <c r="D449" s="25">
        <v>2111065.3199999998</v>
      </c>
      <c r="E449" s="19">
        <v>0.57209744200000001</v>
      </c>
      <c r="F449" s="20">
        <v>1473402.97</v>
      </c>
      <c r="G449" s="20">
        <f t="shared" si="15"/>
        <v>3040529.8875545249</v>
      </c>
      <c r="H449" s="20">
        <v>0</v>
      </c>
      <c r="I449" s="20">
        <v>0</v>
      </c>
      <c r="J449" s="20">
        <v>0</v>
      </c>
      <c r="K449" s="20">
        <v>692850.6778972256</v>
      </c>
      <c r="L449" s="20">
        <f t="shared" si="14"/>
        <v>3733380.5654517505</v>
      </c>
    </row>
    <row r="450" spans="1:12">
      <c r="A450" s="23" t="s">
        <v>1382</v>
      </c>
      <c r="B450" s="19" t="s">
        <v>2127</v>
      </c>
      <c r="C450" s="19" t="e">
        <f>VLOOKUP(A450,'Distribution Detail'!$A$2:$F$558,5,FALSE)</f>
        <v>#N/A</v>
      </c>
      <c r="D450" s="25">
        <v>322927.23</v>
      </c>
      <c r="E450" s="19">
        <v>0.53561961000000002</v>
      </c>
      <c r="F450" s="20">
        <v>237688.3</v>
      </c>
      <c r="G450" s="20">
        <f t="shared" si="15"/>
        <v>523900.81890597555</v>
      </c>
      <c r="H450" s="20">
        <v>0</v>
      </c>
      <c r="I450" s="20">
        <v>0</v>
      </c>
      <c r="J450" s="20">
        <v>0</v>
      </c>
      <c r="K450" s="20">
        <v>92616.179132630554</v>
      </c>
      <c r="L450" s="20">
        <f t="shared" ref="L450:L513" si="16">SUM(G450:K450)</f>
        <v>616516.99803860614</v>
      </c>
    </row>
    <row r="451" spans="1:12">
      <c r="A451" s="23" t="s">
        <v>1384</v>
      </c>
      <c r="B451" s="19" t="s">
        <v>2126</v>
      </c>
      <c r="C451" s="19" t="e">
        <f>VLOOKUP(A451,'Distribution Detail'!$A$2:$F$558,5,FALSE)</f>
        <v>#N/A</v>
      </c>
      <c r="D451" s="25">
        <v>1102720.3</v>
      </c>
      <c r="E451" s="19">
        <v>0.52374844099999995</v>
      </c>
      <c r="F451" s="20">
        <v>804596.87</v>
      </c>
      <c r="G451" s="20">
        <f t="shared" ref="G451:G514" si="17">(F451/(IF(E451&lt;0.25,0.25,E451))/0.920346)/0.920346</f>
        <v>1813649.4029831837</v>
      </c>
      <c r="H451" s="20">
        <v>0</v>
      </c>
      <c r="I451" s="20">
        <v>0</v>
      </c>
      <c r="J451" s="20">
        <v>0</v>
      </c>
      <c r="K451" s="20">
        <v>323925.3824105282</v>
      </c>
      <c r="L451" s="20">
        <f t="shared" si="16"/>
        <v>2137574.7853937121</v>
      </c>
    </row>
    <row r="452" spans="1:12">
      <c r="A452" s="23" t="s">
        <v>1385</v>
      </c>
      <c r="B452" s="19" t="s">
        <v>2125</v>
      </c>
      <c r="C452" s="19" t="e">
        <f>VLOOKUP(A452,'Distribution Detail'!$A$2:$F$558,5,FALSE)</f>
        <v>#N/A</v>
      </c>
      <c r="D452" s="25">
        <v>562408.95999999996</v>
      </c>
      <c r="E452" s="19">
        <v>0.424796218</v>
      </c>
      <c r="F452" s="20">
        <v>374961.44</v>
      </c>
      <c r="G452" s="20">
        <f t="shared" si="17"/>
        <v>1042086.3532652267</v>
      </c>
      <c r="H452" s="20">
        <v>0</v>
      </c>
      <c r="I452" s="20">
        <v>0</v>
      </c>
      <c r="J452" s="20">
        <v>0</v>
      </c>
      <c r="K452" s="20">
        <v>203670.70645170403</v>
      </c>
      <c r="L452" s="20">
        <f t="shared" si="16"/>
        <v>1245757.0597169306</v>
      </c>
    </row>
    <row r="453" spans="1:12">
      <c r="A453" s="23" t="s">
        <v>1387</v>
      </c>
      <c r="B453" s="19" t="s">
        <v>2124</v>
      </c>
      <c r="C453" s="19" t="e">
        <f>VLOOKUP(A453,'Distribution Detail'!$A$2:$F$558,5,FALSE)</f>
        <v>#N/A</v>
      </c>
      <c r="D453" s="25">
        <v>1245668.3400000001</v>
      </c>
      <c r="E453" s="19">
        <v>0.45610474299999998</v>
      </c>
      <c r="F453" s="20">
        <v>845674.55</v>
      </c>
      <c r="G453" s="20">
        <f t="shared" si="17"/>
        <v>2188952.8867760594</v>
      </c>
      <c r="H453" s="20">
        <v>0</v>
      </c>
      <c r="I453" s="20">
        <v>0</v>
      </c>
      <c r="J453" s="20">
        <v>0</v>
      </c>
      <c r="K453" s="20">
        <v>434612.40663837292</v>
      </c>
      <c r="L453" s="20">
        <f t="shared" si="16"/>
        <v>2623565.2934144326</v>
      </c>
    </row>
    <row r="454" spans="1:12">
      <c r="A454" s="23" t="s">
        <v>1389</v>
      </c>
      <c r="B454" s="19" t="s">
        <v>2123</v>
      </c>
      <c r="C454" s="19" t="e">
        <f>VLOOKUP(A454,'Distribution Detail'!$A$2:$F$558,5,FALSE)</f>
        <v>#N/A</v>
      </c>
      <c r="D454" s="25">
        <v>1304323.3400000001</v>
      </c>
      <c r="E454" s="19">
        <v>0.50227869800000002</v>
      </c>
      <c r="F454" s="20">
        <v>914671.12</v>
      </c>
      <c r="G454" s="20">
        <f t="shared" si="17"/>
        <v>2149898.46061577</v>
      </c>
      <c r="H454" s="20">
        <v>0</v>
      </c>
      <c r="I454" s="20">
        <v>0</v>
      </c>
      <c r="J454" s="20">
        <v>0</v>
      </c>
      <c r="K454" s="20">
        <v>423375.79562468897</v>
      </c>
      <c r="L454" s="20">
        <f t="shared" si="16"/>
        <v>2573274.2562404592</v>
      </c>
    </row>
    <row r="455" spans="1:12">
      <c r="A455" s="23" t="s">
        <v>1390</v>
      </c>
      <c r="B455" s="19" t="s">
        <v>2122</v>
      </c>
      <c r="C455" s="19" t="e">
        <f>VLOOKUP(A455,'Distribution Detail'!$A$2:$F$558,5,FALSE)</f>
        <v>#N/A</v>
      </c>
      <c r="D455" s="25">
        <v>1087725.82</v>
      </c>
      <c r="E455" s="19">
        <v>0.68474800899999999</v>
      </c>
      <c r="F455" s="20">
        <v>994054.52</v>
      </c>
      <c r="G455" s="20">
        <f t="shared" si="17"/>
        <v>1713867.2025975215</v>
      </c>
      <c r="H455" s="20">
        <v>0</v>
      </c>
      <c r="I455" s="20">
        <v>0</v>
      </c>
      <c r="J455" s="20">
        <v>0</v>
      </c>
      <c r="K455" s="20">
        <v>101778.35292379171</v>
      </c>
      <c r="L455" s="20">
        <f t="shared" si="16"/>
        <v>1815645.5555213131</v>
      </c>
    </row>
    <row r="456" spans="1:12">
      <c r="A456" s="23" t="s">
        <v>1392</v>
      </c>
      <c r="B456" s="19" t="s">
        <v>2121</v>
      </c>
      <c r="C456" s="19" t="e">
        <f>VLOOKUP(A456,'Distribution Detail'!$A$2:$F$558,5,FALSE)</f>
        <v>#N/A</v>
      </c>
      <c r="D456" s="25">
        <v>1744979.32</v>
      </c>
      <c r="E456" s="19">
        <v>0.52788731799999999</v>
      </c>
      <c r="F456" s="20">
        <v>1260302.6399999999</v>
      </c>
      <c r="G456" s="20">
        <f t="shared" si="17"/>
        <v>2818586.4457364613</v>
      </c>
      <c r="H456" s="20">
        <v>0</v>
      </c>
      <c r="I456" s="20">
        <v>0</v>
      </c>
      <c r="J456" s="20">
        <v>0</v>
      </c>
      <c r="K456" s="20">
        <v>526624.42168488808</v>
      </c>
      <c r="L456" s="20">
        <f t="shared" si="16"/>
        <v>3345210.8674213495</v>
      </c>
    </row>
    <row r="457" spans="1:12">
      <c r="A457" s="23" t="s">
        <v>1393</v>
      </c>
      <c r="B457" s="19" t="s">
        <v>2120</v>
      </c>
      <c r="C457" s="19" t="e">
        <f>VLOOKUP(A457,'Distribution Detail'!$A$2:$F$558,5,FALSE)</f>
        <v>#N/A</v>
      </c>
      <c r="D457" s="25">
        <v>488966.12</v>
      </c>
      <c r="E457" s="19">
        <v>0.32890191600000002</v>
      </c>
      <c r="F457" s="20">
        <v>325611.42</v>
      </c>
      <c r="G457" s="20">
        <f t="shared" si="17"/>
        <v>1168775.1427906093</v>
      </c>
      <c r="H457" s="20">
        <v>0</v>
      </c>
      <c r="I457" s="20">
        <v>0</v>
      </c>
      <c r="J457" s="20">
        <v>0</v>
      </c>
      <c r="K457" s="20">
        <v>177492.70383095054</v>
      </c>
      <c r="L457" s="20">
        <f t="shared" si="16"/>
        <v>1346267.8466215599</v>
      </c>
    </row>
    <row r="458" spans="1:12">
      <c r="A458" s="23" t="s">
        <v>1395</v>
      </c>
      <c r="B458" s="19" t="s">
        <v>2119</v>
      </c>
      <c r="C458" s="19" t="e">
        <f>VLOOKUP(A458,'Distribution Detail'!$A$2:$F$558,5,FALSE)</f>
        <v>#N/A</v>
      </c>
      <c r="D458" s="25">
        <v>496717.09</v>
      </c>
      <c r="E458" s="19">
        <v>0.05</v>
      </c>
      <c r="F458" s="20">
        <v>245885.19</v>
      </c>
      <c r="G458" s="20">
        <f t="shared" si="17"/>
        <v>1161154.7535785434</v>
      </c>
      <c r="H458" s="20">
        <v>0</v>
      </c>
      <c r="I458" s="20">
        <v>0</v>
      </c>
      <c r="J458" s="20">
        <v>0</v>
      </c>
      <c r="K458" s="20">
        <v>272540.87049870373</v>
      </c>
      <c r="L458" s="20">
        <f t="shared" si="16"/>
        <v>1433695.6240772472</v>
      </c>
    </row>
    <row r="459" spans="1:12">
      <c r="A459" s="23" t="s">
        <v>1397</v>
      </c>
      <c r="B459" s="19" t="s">
        <v>2118</v>
      </c>
      <c r="C459" s="19" t="e">
        <f>VLOOKUP(A459,'Distribution Detail'!$A$2:$F$558,5,FALSE)</f>
        <v>#N/A</v>
      </c>
      <c r="D459" s="25">
        <v>412411.83</v>
      </c>
      <c r="E459" s="19">
        <v>0.25940265699999998</v>
      </c>
      <c r="F459" s="20">
        <v>231482.52</v>
      </c>
      <c r="G459" s="20">
        <f t="shared" si="17"/>
        <v>1053516.9399177914</v>
      </c>
      <c r="H459" s="20">
        <v>0</v>
      </c>
      <c r="I459" s="20">
        <v>0</v>
      </c>
      <c r="J459" s="20">
        <v>0</v>
      </c>
      <c r="K459" s="20">
        <v>196588.35916057657</v>
      </c>
      <c r="L459" s="20">
        <f t="shared" si="16"/>
        <v>1250105.2990783679</v>
      </c>
    </row>
    <row r="460" spans="1:12">
      <c r="A460" s="23" t="s">
        <v>1399</v>
      </c>
      <c r="B460" s="19" t="s">
        <v>2117</v>
      </c>
      <c r="C460" s="19" t="e">
        <f>VLOOKUP(A460,'Distribution Detail'!$A$2:$F$558,5,FALSE)</f>
        <v>#N/A</v>
      </c>
      <c r="D460" s="25">
        <v>126793.42</v>
      </c>
      <c r="E460" s="19">
        <v>0.05</v>
      </c>
      <c r="F460" s="20">
        <v>79070.55</v>
      </c>
      <c r="G460" s="20">
        <f t="shared" si="17"/>
        <v>373398.43445052509</v>
      </c>
      <c r="H460" s="20">
        <v>0</v>
      </c>
      <c r="I460" s="20">
        <v>0</v>
      </c>
      <c r="J460" s="20">
        <v>0</v>
      </c>
      <c r="K460" s="20">
        <v>51853.183476648999</v>
      </c>
      <c r="L460" s="20">
        <f t="shared" si="16"/>
        <v>425251.61792717408</v>
      </c>
    </row>
    <row r="461" spans="1:12">
      <c r="A461" s="23" t="s">
        <v>1401</v>
      </c>
      <c r="B461" s="19" t="s">
        <v>2116</v>
      </c>
      <c r="C461" s="19" t="e">
        <f>VLOOKUP(A461,'Distribution Detail'!$A$2:$F$558,5,FALSE)</f>
        <v>#N/A</v>
      </c>
      <c r="D461" s="25">
        <v>528383.14</v>
      </c>
      <c r="E461" s="19">
        <v>0.48522262599999999</v>
      </c>
      <c r="F461" s="20">
        <v>445457.19</v>
      </c>
      <c r="G461" s="20">
        <f t="shared" si="17"/>
        <v>1083833.7510755674</v>
      </c>
      <c r="H461" s="20">
        <v>0</v>
      </c>
      <c r="I461" s="20">
        <v>0</v>
      </c>
      <c r="J461" s="20">
        <v>0</v>
      </c>
      <c r="K461" s="20">
        <v>90103.015605000721</v>
      </c>
      <c r="L461" s="20">
        <f t="shared" si="16"/>
        <v>1173936.7666805682</v>
      </c>
    </row>
    <row r="462" spans="1:12">
      <c r="A462" s="23" t="s">
        <v>1403</v>
      </c>
      <c r="B462" s="19" t="s">
        <v>2115</v>
      </c>
      <c r="C462" s="19" t="e">
        <f>VLOOKUP(A462,'Distribution Detail'!$A$2:$F$558,5,FALSE)</f>
        <v>#N/A</v>
      </c>
      <c r="D462" s="25">
        <v>0</v>
      </c>
      <c r="E462" s="19">
        <v>0.05</v>
      </c>
      <c r="F462" s="20">
        <v>0</v>
      </c>
      <c r="G462" s="20">
        <f t="shared" si="17"/>
        <v>0</v>
      </c>
      <c r="H462" s="20">
        <v>0</v>
      </c>
      <c r="I462" s="20">
        <v>0</v>
      </c>
      <c r="J462" s="20">
        <v>0</v>
      </c>
      <c r="K462" s="20">
        <v>0</v>
      </c>
      <c r="L462" s="20">
        <f t="shared" si="16"/>
        <v>0</v>
      </c>
    </row>
    <row r="463" spans="1:12">
      <c r="A463" s="23" t="s">
        <v>1405</v>
      </c>
      <c r="B463" s="19" t="s">
        <v>2114</v>
      </c>
      <c r="C463" s="19" t="e">
        <f>VLOOKUP(A463,'Distribution Detail'!$A$2:$F$558,5,FALSE)</f>
        <v>#N/A</v>
      </c>
      <c r="D463" s="25">
        <v>259600.05</v>
      </c>
      <c r="E463" s="19">
        <v>0.53719209499999998</v>
      </c>
      <c r="F463" s="20">
        <v>184207.45</v>
      </c>
      <c r="G463" s="20">
        <f t="shared" si="17"/>
        <v>404832.45217393857</v>
      </c>
      <c r="H463" s="20">
        <v>0</v>
      </c>
      <c r="I463" s="20">
        <v>0</v>
      </c>
      <c r="J463" s="20">
        <v>0</v>
      </c>
      <c r="K463" s="20">
        <v>81917.670093638706</v>
      </c>
      <c r="L463" s="20">
        <f t="shared" si="16"/>
        <v>486750.12226757727</v>
      </c>
    </row>
    <row r="464" spans="1:12">
      <c r="A464" s="23" t="s">
        <v>1407</v>
      </c>
      <c r="B464" s="19" t="s">
        <v>2113</v>
      </c>
      <c r="C464" s="19" t="e">
        <f>VLOOKUP(A464,'Distribution Detail'!$A$2:$F$558,5,FALSE)</f>
        <v>#N/A</v>
      </c>
      <c r="D464" s="25">
        <v>493508.43</v>
      </c>
      <c r="E464" s="19">
        <v>0.39314786800000001</v>
      </c>
      <c r="F464" s="20">
        <v>303885.58</v>
      </c>
      <c r="G464" s="20">
        <f t="shared" si="17"/>
        <v>912539.9978669635</v>
      </c>
      <c r="H464" s="20">
        <v>0</v>
      </c>
      <c r="I464" s="20">
        <v>0</v>
      </c>
      <c r="J464" s="20">
        <v>0</v>
      </c>
      <c r="K464" s="20">
        <v>206034.30666292895</v>
      </c>
      <c r="L464" s="20">
        <f t="shared" si="16"/>
        <v>1118574.3045298925</v>
      </c>
    </row>
    <row r="465" spans="1:12">
      <c r="A465" s="23" t="s">
        <v>1409</v>
      </c>
      <c r="B465" s="19" t="s">
        <v>2112</v>
      </c>
      <c r="C465" s="19" t="e">
        <f>VLOOKUP(A465,'Distribution Detail'!$A$2:$F$558,5,FALSE)</f>
        <v>#N/A</v>
      </c>
      <c r="D465" s="25">
        <v>1181469.26</v>
      </c>
      <c r="E465" s="19">
        <v>0.41315171499999997</v>
      </c>
      <c r="F465" s="20">
        <v>790368.76</v>
      </c>
      <c r="G465" s="20">
        <f t="shared" si="17"/>
        <v>2258488.8350114003</v>
      </c>
      <c r="H465" s="20">
        <v>1064.4040393504183</v>
      </c>
      <c r="I465" s="20">
        <v>0</v>
      </c>
      <c r="J465" s="20">
        <v>0</v>
      </c>
      <c r="K465" s="20">
        <v>423885.01715659112</v>
      </c>
      <c r="L465" s="20">
        <f t="shared" si="16"/>
        <v>2683438.2562073418</v>
      </c>
    </row>
    <row r="466" spans="1:12">
      <c r="A466" s="23" t="s">
        <v>1411</v>
      </c>
      <c r="B466" s="19" t="s">
        <v>2111</v>
      </c>
      <c r="C466" s="19" t="e">
        <f>VLOOKUP(A466,'Distribution Detail'!$A$2:$F$558,5,FALSE)</f>
        <v>#N/A</v>
      </c>
      <c r="D466" s="25">
        <v>705636.68</v>
      </c>
      <c r="E466" s="19">
        <v>0.77895679900000003</v>
      </c>
      <c r="F466" s="20">
        <v>545533.91</v>
      </c>
      <c r="G466" s="20">
        <f t="shared" si="17"/>
        <v>826810.76145316882</v>
      </c>
      <c r="H466" s="20">
        <v>0</v>
      </c>
      <c r="I466" s="20">
        <v>0</v>
      </c>
      <c r="J466" s="20">
        <v>0</v>
      </c>
      <c r="K466" s="20">
        <v>173959.32616646346</v>
      </c>
      <c r="L466" s="20">
        <f t="shared" si="16"/>
        <v>1000770.0876196322</v>
      </c>
    </row>
    <row r="467" spans="1:12">
      <c r="A467" s="23" t="s">
        <v>1412</v>
      </c>
      <c r="B467" s="19" t="s">
        <v>2110</v>
      </c>
      <c r="C467" s="19" t="e">
        <f>VLOOKUP(A467,'Distribution Detail'!$A$2:$F$558,5,FALSE)</f>
        <v>#N/A</v>
      </c>
      <c r="D467" s="25">
        <v>1210275.33</v>
      </c>
      <c r="E467" s="19">
        <v>0.38000316899999997</v>
      </c>
      <c r="F467" s="20">
        <v>761907.52</v>
      </c>
      <c r="G467" s="20">
        <f t="shared" si="17"/>
        <v>2367079.1684124852</v>
      </c>
      <c r="H467" s="20">
        <v>0</v>
      </c>
      <c r="I467" s="20">
        <v>0</v>
      </c>
      <c r="J467" s="20">
        <v>0</v>
      </c>
      <c r="K467" s="20">
        <v>487173.09577050369</v>
      </c>
      <c r="L467" s="20">
        <f t="shared" si="16"/>
        <v>2854252.264182989</v>
      </c>
    </row>
    <row r="468" spans="1:12">
      <c r="A468" s="23" t="s">
        <v>1414</v>
      </c>
      <c r="B468" s="19" t="s">
        <v>2109</v>
      </c>
      <c r="C468" s="19" t="e">
        <f>VLOOKUP(A468,'Distribution Detail'!$A$2:$F$558,5,FALSE)</f>
        <v>#N/A</v>
      </c>
      <c r="D468" s="25">
        <v>1606506.23</v>
      </c>
      <c r="E468" s="19">
        <v>0.51465167300000003</v>
      </c>
      <c r="F468" s="20">
        <v>1281439.07</v>
      </c>
      <c r="G468" s="20">
        <f t="shared" si="17"/>
        <v>2939559.8976838076</v>
      </c>
      <c r="H468" s="20">
        <v>0</v>
      </c>
      <c r="I468" s="20">
        <v>0</v>
      </c>
      <c r="J468" s="20">
        <v>0</v>
      </c>
      <c r="K468" s="20">
        <v>353201.03526282503</v>
      </c>
      <c r="L468" s="20">
        <f t="shared" si="16"/>
        <v>3292760.9329466326</v>
      </c>
    </row>
    <row r="469" spans="1:12">
      <c r="A469" s="23" t="s">
        <v>1416</v>
      </c>
      <c r="B469" s="19" t="s">
        <v>2108</v>
      </c>
      <c r="C469" s="19" t="e">
        <f>VLOOKUP(A469,'Distribution Detail'!$A$2:$F$558,5,FALSE)</f>
        <v>#N/A</v>
      </c>
      <c r="D469" s="25">
        <v>769172.5</v>
      </c>
      <c r="E469" s="19">
        <v>0.247514079</v>
      </c>
      <c r="F469" s="20">
        <v>395151.01</v>
      </c>
      <c r="G469" s="20">
        <f t="shared" si="17"/>
        <v>1866039.4863263729</v>
      </c>
      <c r="H469" s="20">
        <v>0</v>
      </c>
      <c r="I469" s="20">
        <v>0</v>
      </c>
      <c r="J469" s="20">
        <v>0</v>
      </c>
      <c r="K469" s="20">
        <v>406392.25899824628</v>
      </c>
      <c r="L469" s="20">
        <f t="shared" si="16"/>
        <v>2272431.7453246191</v>
      </c>
    </row>
    <row r="470" spans="1:12">
      <c r="A470" s="23" t="s">
        <v>1418</v>
      </c>
      <c r="B470" s="19" t="s">
        <v>2107</v>
      </c>
      <c r="C470" s="19" t="e">
        <f>VLOOKUP(A470,'Distribution Detail'!$A$2:$F$558,5,FALSE)</f>
        <v>#N/A</v>
      </c>
      <c r="D470" s="25">
        <v>639469.62</v>
      </c>
      <c r="E470" s="19">
        <v>0.80386812600000002</v>
      </c>
      <c r="F470" s="20">
        <v>503309.56</v>
      </c>
      <c r="G470" s="20">
        <f t="shared" si="17"/>
        <v>739176.43388518738</v>
      </c>
      <c r="H470" s="20">
        <v>0</v>
      </c>
      <c r="I470" s="20">
        <v>0</v>
      </c>
      <c r="J470" s="20">
        <v>0</v>
      </c>
      <c r="K470" s="20">
        <v>147944.42524876512</v>
      </c>
      <c r="L470" s="20">
        <f t="shared" si="16"/>
        <v>887120.85913395253</v>
      </c>
    </row>
    <row r="471" spans="1:12">
      <c r="A471" s="23" t="s">
        <v>1419</v>
      </c>
      <c r="B471" s="19" t="s">
        <v>2106</v>
      </c>
      <c r="C471" s="19" t="e">
        <f>VLOOKUP(A471,'Distribution Detail'!$A$2:$F$558,5,FALSE)</f>
        <v>#N/A</v>
      </c>
      <c r="D471" s="25">
        <v>910182.77</v>
      </c>
      <c r="E471" s="19">
        <v>0.62631606900000003</v>
      </c>
      <c r="F471" s="20">
        <v>672099.92</v>
      </c>
      <c r="G471" s="20">
        <f t="shared" si="17"/>
        <v>1266887.4418596644</v>
      </c>
      <c r="H471" s="20">
        <v>0</v>
      </c>
      <c r="I471" s="20">
        <v>0</v>
      </c>
      <c r="J471" s="20">
        <v>0</v>
      </c>
      <c r="K471" s="20">
        <v>258688.41718223365</v>
      </c>
      <c r="L471" s="20">
        <f t="shared" si="16"/>
        <v>1525575.859041898</v>
      </c>
    </row>
    <row r="472" spans="1:12">
      <c r="A472" s="23" t="s">
        <v>1421</v>
      </c>
      <c r="B472" s="19" t="s">
        <v>2105</v>
      </c>
      <c r="C472" s="19" t="e">
        <f>VLOOKUP(A472,'Distribution Detail'!$A$2:$F$558,5,FALSE)</f>
        <v>#N/A</v>
      </c>
      <c r="D472" s="25">
        <v>861292.85</v>
      </c>
      <c r="E472" s="19">
        <v>0.68252160299999998</v>
      </c>
      <c r="F472" s="20">
        <v>687080.59</v>
      </c>
      <c r="G472" s="20">
        <f t="shared" si="17"/>
        <v>1188472.1783991309</v>
      </c>
      <c r="H472" s="20">
        <v>0</v>
      </c>
      <c r="I472" s="20">
        <v>0</v>
      </c>
      <c r="J472" s="20">
        <v>0</v>
      </c>
      <c r="K472" s="20">
        <v>189289.96268794563</v>
      </c>
      <c r="L472" s="20">
        <f t="shared" si="16"/>
        <v>1377762.1410870766</v>
      </c>
    </row>
    <row r="473" spans="1:12">
      <c r="A473" s="23" t="s">
        <v>1423</v>
      </c>
      <c r="B473" s="19" t="s">
        <v>2104</v>
      </c>
      <c r="C473" s="19" t="e">
        <f>VLOOKUP(A473,'Distribution Detail'!$A$2:$F$558,5,FALSE)</f>
        <v>#N/A</v>
      </c>
      <c r="D473" s="25">
        <v>639750.05000000005</v>
      </c>
      <c r="E473" s="19">
        <v>0.84444101699999996</v>
      </c>
      <c r="F473" s="20">
        <v>498734.08000000002</v>
      </c>
      <c r="G473" s="20">
        <f t="shared" si="17"/>
        <v>697264.36044845358</v>
      </c>
      <c r="H473" s="20">
        <v>0</v>
      </c>
      <c r="I473" s="20">
        <v>0</v>
      </c>
      <c r="J473" s="20">
        <v>506.86372299113594</v>
      </c>
      <c r="K473" s="20">
        <v>152713.74026724734</v>
      </c>
      <c r="L473" s="20">
        <f t="shared" si="16"/>
        <v>850484.96443869197</v>
      </c>
    </row>
    <row r="474" spans="1:12">
      <c r="A474" s="23" t="s">
        <v>1425</v>
      </c>
      <c r="B474" s="19" t="s">
        <v>2103</v>
      </c>
      <c r="C474" s="19" t="e">
        <f>VLOOKUP(A474,'Distribution Detail'!$A$2:$F$558,5,FALSE)</f>
        <v>#N/A</v>
      </c>
      <c r="D474" s="25">
        <v>365492.81</v>
      </c>
      <c r="E474" s="19">
        <v>0.21477252599999999</v>
      </c>
      <c r="F474" s="20">
        <v>365492.81</v>
      </c>
      <c r="G474" s="20">
        <f t="shared" si="17"/>
        <v>1725983.227091796</v>
      </c>
      <c r="H474" s="20">
        <v>0</v>
      </c>
      <c r="I474" s="20">
        <v>0</v>
      </c>
      <c r="J474" s="20">
        <v>0</v>
      </c>
      <c r="K474" s="20">
        <v>0</v>
      </c>
      <c r="L474" s="20">
        <f t="shared" si="16"/>
        <v>1725983.227091796</v>
      </c>
    </row>
    <row r="475" spans="1:12">
      <c r="A475" s="23" t="s">
        <v>1427</v>
      </c>
      <c r="B475" s="19" t="s">
        <v>2102</v>
      </c>
      <c r="C475" s="19" t="e">
        <f>VLOOKUP(A475,'Distribution Detail'!$A$2:$F$558,5,FALSE)</f>
        <v>#N/A</v>
      </c>
      <c r="D475" s="25">
        <v>603368.79</v>
      </c>
      <c r="E475" s="19">
        <v>0.381501802</v>
      </c>
      <c r="F475" s="20">
        <v>437092.74</v>
      </c>
      <c r="G475" s="20">
        <f t="shared" si="17"/>
        <v>1352616.6875332054</v>
      </c>
      <c r="H475" s="20">
        <v>0</v>
      </c>
      <c r="I475" s="20">
        <v>0</v>
      </c>
      <c r="J475" s="20">
        <v>0</v>
      </c>
      <c r="K475" s="20">
        <v>180666.89049553103</v>
      </c>
      <c r="L475" s="20">
        <f t="shared" si="16"/>
        <v>1533283.5780287364</v>
      </c>
    </row>
    <row r="476" spans="1:12">
      <c r="A476" s="23" t="s">
        <v>1429</v>
      </c>
      <c r="B476" s="19" t="s">
        <v>2101</v>
      </c>
      <c r="C476" s="19" t="e">
        <f>VLOOKUP(A476,'Distribution Detail'!$A$2:$F$558,5,FALSE)</f>
        <v>#N/A</v>
      </c>
      <c r="D476" s="25">
        <v>339731.53</v>
      </c>
      <c r="E476" s="19">
        <v>0.37326406899999998</v>
      </c>
      <c r="F476" s="20">
        <v>321779.21999999997</v>
      </c>
      <c r="G476" s="20">
        <f t="shared" si="17"/>
        <v>1017746.342446718</v>
      </c>
      <c r="H476" s="20">
        <v>0</v>
      </c>
      <c r="I476" s="20">
        <v>0</v>
      </c>
      <c r="J476" s="20">
        <v>0</v>
      </c>
      <c r="K476" s="20">
        <v>19506.044465885658</v>
      </c>
      <c r="L476" s="20">
        <f t="shared" si="16"/>
        <v>1037252.3869126036</v>
      </c>
    </row>
    <row r="477" spans="1:12">
      <c r="A477" s="23" t="s">
        <v>1431</v>
      </c>
      <c r="B477" s="19" t="s">
        <v>2100</v>
      </c>
      <c r="C477" s="19" t="e">
        <f>VLOOKUP(A477,'Distribution Detail'!$A$2:$F$558,5,FALSE)</f>
        <v>#N/A</v>
      </c>
      <c r="D477" s="25">
        <v>388529.74</v>
      </c>
      <c r="E477" s="19">
        <v>0.50830907999999997</v>
      </c>
      <c r="F477" s="20">
        <v>304935.98</v>
      </c>
      <c r="G477" s="20">
        <f t="shared" si="17"/>
        <v>708236.89099344157</v>
      </c>
      <c r="H477" s="20">
        <v>0</v>
      </c>
      <c r="I477" s="20">
        <v>0</v>
      </c>
      <c r="J477" s="20">
        <v>0</v>
      </c>
      <c r="K477" s="20">
        <v>90313.338679148932</v>
      </c>
      <c r="L477" s="20">
        <f t="shared" si="16"/>
        <v>798550.2296725905</v>
      </c>
    </row>
    <row r="478" spans="1:12">
      <c r="A478" s="23" t="s">
        <v>1433</v>
      </c>
      <c r="B478" s="19" t="s">
        <v>2099</v>
      </c>
      <c r="C478" s="19" t="e">
        <f>VLOOKUP(A478,'Distribution Detail'!$A$2:$F$558,5,FALSE)</f>
        <v>#N/A</v>
      </c>
      <c r="D478" s="25">
        <v>289360.98</v>
      </c>
      <c r="E478" s="19">
        <v>0.44331926100000002</v>
      </c>
      <c r="F478" s="20">
        <v>275461.34000000003</v>
      </c>
      <c r="G478" s="20">
        <f t="shared" si="17"/>
        <v>733570.39656527631</v>
      </c>
      <c r="H478" s="20">
        <v>0</v>
      </c>
      <c r="I478" s="20">
        <v>0</v>
      </c>
      <c r="J478" s="20">
        <v>0</v>
      </c>
      <c r="K478" s="20">
        <v>15102.624447762037</v>
      </c>
      <c r="L478" s="20">
        <f t="shared" si="16"/>
        <v>748673.02101303835</v>
      </c>
    </row>
    <row r="479" spans="1:12">
      <c r="A479" s="23" t="s">
        <v>1435</v>
      </c>
      <c r="B479" s="19" t="s">
        <v>1993</v>
      </c>
      <c r="C479" s="19" t="e">
        <f>VLOOKUP(A479,'Distribution Detail'!$A$2:$F$558,5,FALSE)</f>
        <v>#N/A</v>
      </c>
      <c r="D479" s="25">
        <v>834917.27</v>
      </c>
      <c r="E479" s="19">
        <v>0.50769507300000005</v>
      </c>
      <c r="F479" s="20">
        <v>613215.89</v>
      </c>
      <c r="G479" s="20">
        <f t="shared" si="17"/>
        <v>1425962.7903366643</v>
      </c>
      <c r="H479" s="20">
        <v>0</v>
      </c>
      <c r="I479" s="20">
        <v>0</v>
      </c>
      <c r="J479" s="20">
        <v>0</v>
      </c>
      <c r="K479" s="20">
        <v>240889.16559641701</v>
      </c>
      <c r="L479" s="20">
        <f t="shared" si="16"/>
        <v>1666851.9559330812</v>
      </c>
    </row>
    <row r="480" spans="1:12">
      <c r="A480" s="23" t="s">
        <v>1437</v>
      </c>
      <c r="B480" s="19" t="s">
        <v>2098</v>
      </c>
      <c r="C480" s="19" t="e">
        <f>VLOOKUP(A480,'Distribution Detail'!$A$2:$F$558,5,FALSE)</f>
        <v>#N/A</v>
      </c>
      <c r="D480" s="25">
        <v>441197.06</v>
      </c>
      <c r="E480" s="19">
        <v>0.32389923399999998</v>
      </c>
      <c r="F480" s="20">
        <v>441197.06</v>
      </c>
      <c r="G480" s="20">
        <f t="shared" si="17"/>
        <v>1608127.3217846218</v>
      </c>
      <c r="H480" s="20">
        <v>0</v>
      </c>
      <c r="I480" s="20">
        <v>0</v>
      </c>
      <c r="J480" s="20">
        <v>0</v>
      </c>
      <c r="K480" s="20">
        <v>0</v>
      </c>
      <c r="L480" s="20">
        <f t="shared" si="16"/>
        <v>1608127.3217846218</v>
      </c>
    </row>
    <row r="481" spans="1:12">
      <c r="A481" s="23" t="s">
        <v>1439</v>
      </c>
      <c r="B481" s="19" t="s">
        <v>2097</v>
      </c>
      <c r="C481" s="19" t="e">
        <f>VLOOKUP(A481,'Distribution Detail'!$A$2:$F$558,5,FALSE)</f>
        <v>#N/A</v>
      </c>
      <c r="D481" s="25">
        <v>285281.78999999998</v>
      </c>
      <c r="E481" s="19">
        <v>0.48292162900000002</v>
      </c>
      <c r="F481" s="20">
        <v>219419.62</v>
      </c>
      <c r="G481" s="20">
        <f t="shared" si="17"/>
        <v>536409.60207879683</v>
      </c>
      <c r="H481" s="20">
        <v>0</v>
      </c>
      <c r="I481" s="20">
        <v>0</v>
      </c>
      <c r="J481" s="20">
        <v>0</v>
      </c>
      <c r="K481" s="20">
        <v>71562.40153159789</v>
      </c>
      <c r="L481" s="20">
        <f t="shared" si="16"/>
        <v>607972.00361039466</v>
      </c>
    </row>
    <row r="482" spans="1:12">
      <c r="A482" s="23" t="s">
        <v>1441</v>
      </c>
      <c r="B482" s="19" t="s">
        <v>2096</v>
      </c>
      <c r="C482" s="19" t="e">
        <f>VLOOKUP(A482,'Distribution Detail'!$A$2:$F$558,5,FALSE)</f>
        <v>#N/A</v>
      </c>
      <c r="D482" s="25">
        <v>593018.91</v>
      </c>
      <c r="E482" s="19">
        <v>0.47954081999999998</v>
      </c>
      <c r="F482" s="20">
        <v>404711.85</v>
      </c>
      <c r="G482" s="20">
        <f t="shared" si="17"/>
        <v>996364.12259646179</v>
      </c>
      <c r="H482" s="20">
        <v>0</v>
      </c>
      <c r="I482" s="20">
        <v>0</v>
      </c>
      <c r="J482" s="20">
        <v>0</v>
      </c>
      <c r="K482" s="20">
        <v>204604.6378209934</v>
      </c>
      <c r="L482" s="20">
        <f t="shared" si="16"/>
        <v>1200968.7604174551</v>
      </c>
    </row>
    <row r="483" spans="1:12">
      <c r="A483" s="23" t="s">
        <v>1443</v>
      </c>
      <c r="B483" s="19" t="s">
        <v>2095</v>
      </c>
      <c r="C483" s="19" t="e">
        <f>VLOOKUP(A483,'Distribution Detail'!$A$2:$F$558,5,FALSE)</f>
        <v>#N/A</v>
      </c>
      <c r="D483" s="25">
        <v>851222.7</v>
      </c>
      <c r="E483" s="19">
        <v>0.520900637</v>
      </c>
      <c r="F483" s="20">
        <v>630847.27</v>
      </c>
      <c r="G483" s="20">
        <f t="shared" si="17"/>
        <v>1429772.9659635746</v>
      </c>
      <c r="H483" s="20">
        <v>0</v>
      </c>
      <c r="I483" s="20">
        <v>0</v>
      </c>
      <c r="J483" s="20">
        <v>0</v>
      </c>
      <c r="K483" s="20">
        <v>239448.45742796731</v>
      </c>
      <c r="L483" s="20">
        <f t="shared" si="16"/>
        <v>1669221.4233915419</v>
      </c>
    </row>
    <row r="484" spans="1:12">
      <c r="A484" s="23" t="s">
        <v>1445</v>
      </c>
      <c r="B484" s="19" t="s">
        <v>1446</v>
      </c>
      <c r="C484" s="19" t="e">
        <f>VLOOKUP(A484,'Distribution Detail'!$A$2:$F$558,5,FALSE)</f>
        <v>#N/A</v>
      </c>
      <c r="D484" s="25">
        <v>355161.82</v>
      </c>
      <c r="E484" s="19">
        <v>0.47588016700000002</v>
      </c>
      <c r="F484" s="20">
        <v>250726.04</v>
      </c>
      <c r="G484" s="20">
        <f t="shared" si="17"/>
        <v>622013.16664371919</v>
      </c>
      <c r="H484" s="20">
        <v>0</v>
      </c>
      <c r="I484" s="20">
        <v>0</v>
      </c>
      <c r="J484" s="20">
        <v>0</v>
      </c>
      <c r="K484" s="20">
        <v>113474.47590362755</v>
      </c>
      <c r="L484" s="20">
        <f t="shared" si="16"/>
        <v>735487.64254734677</v>
      </c>
    </row>
    <row r="485" spans="1:12">
      <c r="A485" s="23" t="s">
        <v>1447</v>
      </c>
      <c r="B485" s="19" t="s">
        <v>2094</v>
      </c>
      <c r="C485" s="19" t="e">
        <f>VLOOKUP(A485,'Distribution Detail'!$A$2:$F$558,5,FALSE)</f>
        <v>#N/A</v>
      </c>
      <c r="D485" s="25">
        <v>286115.28000000003</v>
      </c>
      <c r="E485" s="19">
        <v>0.47930340399999999</v>
      </c>
      <c r="F485" s="20">
        <v>199548.69</v>
      </c>
      <c r="G485" s="20">
        <f t="shared" si="17"/>
        <v>491514.24550046888</v>
      </c>
      <c r="H485" s="20">
        <v>0</v>
      </c>
      <c r="I485" s="20">
        <v>0</v>
      </c>
      <c r="J485" s="20">
        <v>0</v>
      </c>
      <c r="K485" s="20">
        <v>94058.745297964022</v>
      </c>
      <c r="L485" s="20">
        <f t="shared" si="16"/>
        <v>585572.99079843285</v>
      </c>
    </row>
    <row r="486" spans="1:12">
      <c r="A486" s="23" t="s">
        <v>1449</v>
      </c>
      <c r="B486" s="19" t="s">
        <v>2093</v>
      </c>
      <c r="C486" s="19" t="e">
        <f>VLOOKUP(A486,'Distribution Detail'!$A$2:$F$558,5,FALSE)</f>
        <v>#N/A</v>
      </c>
      <c r="D486" s="25">
        <v>212698.5</v>
      </c>
      <c r="E486" s="19">
        <v>0.4481407</v>
      </c>
      <c r="F486" s="20">
        <v>139207.87</v>
      </c>
      <c r="G486" s="20">
        <f t="shared" si="17"/>
        <v>366730.59407685394</v>
      </c>
      <c r="H486" s="20">
        <v>0</v>
      </c>
      <c r="I486" s="20">
        <v>0</v>
      </c>
      <c r="J486" s="20">
        <v>0</v>
      </c>
      <c r="K486" s="20">
        <v>79851.088612326246</v>
      </c>
      <c r="L486" s="20">
        <f t="shared" si="16"/>
        <v>446581.68268918019</v>
      </c>
    </row>
    <row r="487" spans="1:12">
      <c r="A487" s="23" t="s">
        <v>1451</v>
      </c>
      <c r="B487" s="19" t="s">
        <v>2092</v>
      </c>
      <c r="C487" s="19" t="e">
        <f>VLOOKUP(A487,'Distribution Detail'!$A$2:$F$558,5,FALSE)</f>
        <v>#N/A</v>
      </c>
      <c r="D487" s="25">
        <v>127313.13</v>
      </c>
      <c r="E487" s="19">
        <v>0.42171264800000002</v>
      </c>
      <c r="F487" s="20">
        <v>97181.45</v>
      </c>
      <c r="G487" s="20">
        <f t="shared" si="17"/>
        <v>272059.87229267624</v>
      </c>
      <c r="H487" s="20">
        <v>0</v>
      </c>
      <c r="I487" s="20">
        <v>0</v>
      </c>
      <c r="J487" s="20">
        <v>0</v>
      </c>
      <c r="K487" s="20">
        <v>32739.513183085492</v>
      </c>
      <c r="L487" s="20">
        <f t="shared" si="16"/>
        <v>304799.38547576172</v>
      </c>
    </row>
    <row r="488" spans="1:12">
      <c r="A488" s="23" t="s">
        <v>1453</v>
      </c>
      <c r="B488" s="19" t="s">
        <v>2091</v>
      </c>
      <c r="C488" s="19" t="e">
        <f>VLOOKUP(A488,'Distribution Detail'!$A$2:$F$558,5,FALSE)</f>
        <v>#N/A</v>
      </c>
      <c r="D488" s="25">
        <v>104754.74</v>
      </c>
      <c r="E488" s="19">
        <v>0.371589742</v>
      </c>
      <c r="F488" s="20">
        <v>68957.289999999994</v>
      </c>
      <c r="G488" s="20">
        <f t="shared" si="17"/>
        <v>219085.79042005405</v>
      </c>
      <c r="H488" s="20">
        <v>0</v>
      </c>
      <c r="I488" s="20">
        <v>0</v>
      </c>
      <c r="J488" s="20">
        <v>0</v>
      </c>
      <c r="K488" s="20">
        <v>38895.64359490887</v>
      </c>
      <c r="L488" s="20">
        <f t="shared" si="16"/>
        <v>257981.43401496293</v>
      </c>
    </row>
    <row r="489" spans="1:12">
      <c r="A489" s="23" t="s">
        <v>1455</v>
      </c>
      <c r="B489" s="19" t="s">
        <v>2090</v>
      </c>
      <c r="C489" s="19" t="e">
        <f>VLOOKUP(A489,'Distribution Detail'!$A$2:$F$558,5,FALSE)</f>
        <v>#N/A</v>
      </c>
      <c r="D489" s="25">
        <v>134439.09</v>
      </c>
      <c r="E489" s="19">
        <v>0.47281932199999999</v>
      </c>
      <c r="F489" s="20">
        <v>93078.1</v>
      </c>
      <c r="G489" s="20">
        <f t="shared" si="17"/>
        <v>232407.44450050732</v>
      </c>
      <c r="H489" s="20">
        <v>0</v>
      </c>
      <c r="I489" s="20">
        <v>0</v>
      </c>
      <c r="J489" s="20">
        <v>0</v>
      </c>
      <c r="K489" s="20">
        <v>44940.696216422955</v>
      </c>
      <c r="L489" s="20">
        <f t="shared" si="16"/>
        <v>277348.14071693027</v>
      </c>
    </row>
    <row r="490" spans="1:12">
      <c r="A490" s="23" t="s">
        <v>1457</v>
      </c>
      <c r="B490" s="19" t="s">
        <v>2089</v>
      </c>
      <c r="C490" s="19" t="e">
        <f>VLOOKUP(A490,'Distribution Detail'!$A$2:$F$558,5,FALSE)</f>
        <v>#N/A</v>
      </c>
      <c r="D490" s="25">
        <v>166401.12</v>
      </c>
      <c r="E490" s="19">
        <v>0.435433976</v>
      </c>
      <c r="F490" s="20">
        <v>110499.68</v>
      </c>
      <c r="G490" s="20">
        <f t="shared" si="17"/>
        <v>299596.30235614418</v>
      </c>
      <c r="H490" s="20">
        <v>0</v>
      </c>
      <c r="I490" s="20">
        <v>0</v>
      </c>
      <c r="J490" s="20">
        <v>0</v>
      </c>
      <c r="K490" s="20">
        <v>60739.591414533235</v>
      </c>
      <c r="L490" s="20">
        <f t="shared" si="16"/>
        <v>360335.89377067739</v>
      </c>
    </row>
    <row r="491" spans="1:12">
      <c r="A491" s="23" t="s">
        <v>1458</v>
      </c>
      <c r="B491" s="19" t="s">
        <v>2088</v>
      </c>
      <c r="C491" s="19" t="e">
        <f>VLOOKUP(A491,'Distribution Detail'!$A$2:$F$558,5,FALSE)</f>
        <v>#N/A</v>
      </c>
      <c r="D491" s="25">
        <v>409030.59</v>
      </c>
      <c r="E491" s="19">
        <v>0.44483047999999997</v>
      </c>
      <c r="F491" s="20">
        <v>311532.18</v>
      </c>
      <c r="G491" s="20">
        <f t="shared" si="17"/>
        <v>826810.75694455323</v>
      </c>
      <c r="H491" s="20">
        <v>0</v>
      </c>
      <c r="I491" s="20">
        <v>0</v>
      </c>
      <c r="J491" s="20">
        <v>0</v>
      </c>
      <c r="K491" s="20">
        <v>105936.69120091792</v>
      </c>
      <c r="L491" s="20">
        <f t="shared" si="16"/>
        <v>932747.44814547116</v>
      </c>
    </row>
    <row r="492" spans="1:12">
      <c r="A492" s="23" t="s">
        <v>1460</v>
      </c>
      <c r="B492" s="19" t="s">
        <v>2087</v>
      </c>
      <c r="C492" s="19" t="e">
        <f>VLOOKUP(A492,'Distribution Detail'!$A$2:$F$558,5,FALSE)</f>
        <v>#N/A</v>
      </c>
      <c r="D492" s="25">
        <v>106413.69</v>
      </c>
      <c r="E492" s="19">
        <v>0.315476278</v>
      </c>
      <c r="F492" s="20">
        <v>67107.55</v>
      </c>
      <c r="G492" s="20">
        <f t="shared" si="17"/>
        <v>251132.20913125208</v>
      </c>
      <c r="H492" s="20">
        <v>0</v>
      </c>
      <c r="I492" s="20">
        <v>0</v>
      </c>
      <c r="J492" s="20">
        <v>0</v>
      </c>
      <c r="K492" s="20">
        <v>42708.003294413189</v>
      </c>
      <c r="L492" s="20">
        <f t="shared" si="16"/>
        <v>293840.21242566529</v>
      </c>
    </row>
    <row r="493" spans="1:12">
      <c r="A493" s="23" t="s">
        <v>1462</v>
      </c>
      <c r="B493" s="19" t="s">
        <v>2086</v>
      </c>
      <c r="C493" s="19" t="e">
        <f>VLOOKUP(A493,'Distribution Detail'!$A$2:$F$558,5,FALSE)</f>
        <v>#N/A</v>
      </c>
      <c r="D493" s="25">
        <v>222218.76</v>
      </c>
      <c r="E493" s="19">
        <v>0.35930431899999998</v>
      </c>
      <c r="F493" s="20">
        <v>135384.20000000001</v>
      </c>
      <c r="G493" s="20">
        <f t="shared" si="17"/>
        <v>444839.44179012155</v>
      </c>
      <c r="H493" s="20">
        <v>0</v>
      </c>
      <c r="I493" s="20">
        <v>0</v>
      </c>
      <c r="J493" s="20">
        <v>0</v>
      </c>
      <c r="K493" s="20">
        <v>94349.90753477496</v>
      </c>
      <c r="L493" s="20">
        <f t="shared" si="16"/>
        <v>539189.34932489647</v>
      </c>
    </row>
    <row r="494" spans="1:12">
      <c r="A494" s="23" t="s">
        <v>1464</v>
      </c>
      <c r="B494" s="19" t="s">
        <v>2085</v>
      </c>
      <c r="C494" s="19" t="e">
        <f>VLOOKUP(A494,'Distribution Detail'!$A$2:$F$558,5,FALSE)</f>
        <v>#N/A</v>
      </c>
      <c r="D494" s="25">
        <v>519603.81</v>
      </c>
      <c r="E494" s="19">
        <v>0.49701902399999998</v>
      </c>
      <c r="F494" s="20">
        <v>372543.83</v>
      </c>
      <c r="G494" s="20">
        <f t="shared" si="17"/>
        <v>884916.11627917539</v>
      </c>
      <c r="H494" s="20">
        <v>0</v>
      </c>
      <c r="I494" s="20">
        <v>0</v>
      </c>
      <c r="J494" s="20">
        <v>0</v>
      </c>
      <c r="K494" s="20">
        <v>159787.7102741795</v>
      </c>
      <c r="L494" s="20">
        <f t="shared" si="16"/>
        <v>1044703.8265533549</v>
      </c>
    </row>
    <row r="495" spans="1:12">
      <c r="A495" s="23" t="s">
        <v>1466</v>
      </c>
      <c r="B495" s="19" t="s">
        <v>2011</v>
      </c>
      <c r="C495" s="19" t="e">
        <f>VLOOKUP(A495,'Distribution Detail'!$A$2:$F$558,5,FALSE)</f>
        <v>#N/A</v>
      </c>
      <c r="D495" s="25">
        <v>447665.22</v>
      </c>
      <c r="E495" s="19">
        <v>0.54106690800000001</v>
      </c>
      <c r="F495" s="20">
        <v>322178.08</v>
      </c>
      <c r="G495" s="20">
        <f t="shared" si="17"/>
        <v>702979.65745470719</v>
      </c>
      <c r="H495" s="20">
        <v>0</v>
      </c>
      <c r="I495" s="20">
        <v>0</v>
      </c>
      <c r="J495" s="20">
        <v>0</v>
      </c>
      <c r="K495" s="20">
        <v>136347.78659330294</v>
      </c>
      <c r="L495" s="20">
        <f t="shared" si="16"/>
        <v>839327.44404801016</v>
      </c>
    </row>
    <row r="496" spans="1:12">
      <c r="A496" s="23" t="s">
        <v>1467</v>
      </c>
      <c r="B496" s="19" t="s">
        <v>2084</v>
      </c>
      <c r="C496" s="19" t="e">
        <f>VLOOKUP(A496,'Distribution Detail'!$A$2:$F$558,5,FALSE)</f>
        <v>#N/A</v>
      </c>
      <c r="D496" s="25">
        <v>546328.51</v>
      </c>
      <c r="E496" s="19">
        <v>0.49510625200000002</v>
      </c>
      <c r="F496" s="20">
        <v>540486.51</v>
      </c>
      <c r="G496" s="20">
        <f t="shared" si="17"/>
        <v>1288796.0315933102</v>
      </c>
      <c r="H496" s="20">
        <v>0</v>
      </c>
      <c r="I496" s="20">
        <v>0</v>
      </c>
      <c r="J496" s="20">
        <v>0</v>
      </c>
      <c r="K496" s="20">
        <v>6347.6127456413133</v>
      </c>
      <c r="L496" s="20">
        <f t="shared" si="16"/>
        <v>1295143.6443389514</v>
      </c>
    </row>
    <row r="497" spans="1:12">
      <c r="A497" s="23" t="s">
        <v>1469</v>
      </c>
      <c r="B497" s="19" t="s">
        <v>2083</v>
      </c>
      <c r="C497" s="19" t="e">
        <f>VLOOKUP(A497,'Distribution Detail'!$A$2:$F$558,5,FALSE)</f>
        <v>#N/A</v>
      </c>
      <c r="D497" s="25">
        <v>145534.28</v>
      </c>
      <c r="E497" s="19">
        <v>0.41624135800000001</v>
      </c>
      <c r="F497" s="20">
        <v>98737.29</v>
      </c>
      <c r="G497" s="20">
        <f t="shared" si="17"/>
        <v>280048.79937683675</v>
      </c>
      <c r="H497" s="20">
        <v>0</v>
      </c>
      <c r="I497" s="20">
        <v>0</v>
      </c>
      <c r="J497" s="20">
        <v>0</v>
      </c>
      <c r="K497" s="20">
        <v>50847.170520652013</v>
      </c>
      <c r="L497" s="20">
        <f t="shared" si="16"/>
        <v>330895.96989748877</v>
      </c>
    </row>
    <row r="498" spans="1:12">
      <c r="A498" s="23" t="s">
        <v>1471</v>
      </c>
      <c r="B498" s="19" t="s">
        <v>2082</v>
      </c>
      <c r="C498" s="19" t="e">
        <f>VLOOKUP(A498,'Distribution Detail'!$A$2:$F$558,5,FALSE)</f>
        <v>#N/A</v>
      </c>
      <c r="D498" s="25">
        <v>999448.56</v>
      </c>
      <c r="E498" s="19">
        <v>0.66661447399999996</v>
      </c>
      <c r="F498" s="20">
        <v>999448.56</v>
      </c>
      <c r="G498" s="20">
        <f t="shared" si="17"/>
        <v>1770041.5014273566</v>
      </c>
      <c r="H498" s="20">
        <v>0</v>
      </c>
      <c r="I498" s="20">
        <v>0</v>
      </c>
      <c r="J498" s="20">
        <v>0</v>
      </c>
      <c r="K498" s="20">
        <v>0</v>
      </c>
      <c r="L498" s="20">
        <f t="shared" si="16"/>
        <v>1770041.5014273566</v>
      </c>
    </row>
    <row r="499" spans="1:12">
      <c r="A499" s="23" t="s">
        <v>1472</v>
      </c>
      <c r="B499" s="19" t="s">
        <v>2081</v>
      </c>
      <c r="C499" s="19" t="e">
        <f>VLOOKUP(A499,'Distribution Detail'!$A$2:$F$558,5,FALSE)</f>
        <v>#N/A</v>
      </c>
      <c r="D499" s="25">
        <v>285719.28999999998</v>
      </c>
      <c r="E499" s="19">
        <v>0.563894809</v>
      </c>
      <c r="F499" s="20">
        <v>206558.28</v>
      </c>
      <c r="G499" s="20">
        <f t="shared" si="17"/>
        <v>432456.32529695251</v>
      </c>
      <c r="H499" s="20">
        <v>0</v>
      </c>
      <c r="I499" s="20">
        <v>0</v>
      </c>
      <c r="J499" s="20">
        <v>0</v>
      </c>
      <c r="K499" s="20">
        <v>86012.228009900617</v>
      </c>
      <c r="L499" s="20">
        <f t="shared" si="16"/>
        <v>518468.55330685311</v>
      </c>
    </row>
    <row r="500" spans="1:12">
      <c r="A500" s="23" t="s">
        <v>1474</v>
      </c>
      <c r="B500" s="19" t="s">
        <v>2080</v>
      </c>
      <c r="C500" s="19" t="e">
        <f>VLOOKUP(A500,'Distribution Detail'!$A$2:$F$558,5,FALSE)</f>
        <v>#N/A</v>
      </c>
      <c r="D500" s="25">
        <v>416476.15</v>
      </c>
      <c r="E500" s="19">
        <v>0.42526711499999997</v>
      </c>
      <c r="F500" s="20">
        <v>393986.09</v>
      </c>
      <c r="G500" s="20">
        <f t="shared" si="17"/>
        <v>1093746.8865442525</v>
      </c>
      <c r="H500" s="20">
        <v>0</v>
      </c>
      <c r="I500" s="20">
        <v>0</v>
      </c>
      <c r="J500" s="20">
        <v>0</v>
      </c>
      <c r="K500" s="20">
        <v>24436.527132187242</v>
      </c>
      <c r="L500" s="20">
        <f t="shared" si="16"/>
        <v>1118183.4136764398</v>
      </c>
    </row>
    <row r="501" spans="1:12">
      <c r="A501" s="23" t="s">
        <v>1476</v>
      </c>
      <c r="B501" s="19" t="s">
        <v>2079</v>
      </c>
      <c r="C501" s="19" t="e">
        <f>VLOOKUP(A501,'Distribution Detail'!$A$2:$F$558,5,FALSE)</f>
        <v>#N/A</v>
      </c>
      <c r="D501" s="25">
        <v>526808.34</v>
      </c>
      <c r="E501" s="19">
        <v>0.61945301699999999</v>
      </c>
      <c r="F501" s="20">
        <v>411488.97</v>
      </c>
      <c r="G501" s="20">
        <f t="shared" si="17"/>
        <v>784237.43223291589</v>
      </c>
      <c r="H501" s="20">
        <v>0</v>
      </c>
      <c r="I501" s="20">
        <v>0</v>
      </c>
      <c r="J501" s="20">
        <v>0</v>
      </c>
      <c r="K501" s="20">
        <v>125300.01760207574</v>
      </c>
      <c r="L501" s="20">
        <f t="shared" si="16"/>
        <v>909537.4498349916</v>
      </c>
    </row>
    <row r="502" spans="1:12">
      <c r="A502" s="23" t="s">
        <v>1478</v>
      </c>
      <c r="B502" s="19" t="s">
        <v>2078</v>
      </c>
      <c r="C502" s="19" t="e">
        <f>VLOOKUP(A502,'Distribution Detail'!$A$2:$F$558,5,FALSE)</f>
        <v>#N/A</v>
      </c>
      <c r="D502" s="25">
        <v>826647.66</v>
      </c>
      <c r="E502" s="19">
        <v>0.86414214499999997</v>
      </c>
      <c r="F502" s="20">
        <v>688859.72</v>
      </c>
      <c r="G502" s="20">
        <f t="shared" si="17"/>
        <v>941116.40954411775</v>
      </c>
      <c r="H502" s="20">
        <v>0</v>
      </c>
      <c r="I502" s="20">
        <v>0</v>
      </c>
      <c r="J502" s="20">
        <v>0</v>
      </c>
      <c r="K502" s="20">
        <v>149713.19482020891</v>
      </c>
      <c r="L502" s="20">
        <f t="shared" si="16"/>
        <v>1090829.6043643267</v>
      </c>
    </row>
    <row r="503" spans="1:12">
      <c r="A503" s="23" t="s">
        <v>1480</v>
      </c>
      <c r="B503" s="19" t="s">
        <v>2077</v>
      </c>
      <c r="C503" s="19" t="e">
        <f>VLOOKUP(A503,'Distribution Detail'!$A$2:$F$558,5,FALSE)</f>
        <v>#N/A</v>
      </c>
      <c r="D503" s="25">
        <v>429883.95</v>
      </c>
      <c r="E503" s="19">
        <v>0.63115136000000005</v>
      </c>
      <c r="F503" s="20">
        <v>315219.32</v>
      </c>
      <c r="G503" s="20">
        <f t="shared" si="17"/>
        <v>589626.57210561843</v>
      </c>
      <c r="H503" s="20">
        <v>0</v>
      </c>
      <c r="I503" s="20">
        <v>0</v>
      </c>
      <c r="J503" s="20">
        <v>0</v>
      </c>
      <c r="K503" s="20">
        <v>123948.79751745539</v>
      </c>
      <c r="L503" s="20">
        <f t="shared" si="16"/>
        <v>713575.36962307384</v>
      </c>
    </row>
    <row r="504" spans="1:12">
      <c r="A504" s="23" t="s">
        <v>1482</v>
      </c>
      <c r="B504" s="19" t="s">
        <v>2076</v>
      </c>
      <c r="C504" s="19" t="e">
        <f>VLOOKUP(A504,'Distribution Detail'!$A$2:$F$558,5,FALSE)</f>
        <v>#N/A</v>
      </c>
      <c r="D504" s="25">
        <v>672913.83</v>
      </c>
      <c r="E504" s="19">
        <v>0.69611817899999995</v>
      </c>
      <c r="F504" s="20">
        <v>504368.51</v>
      </c>
      <c r="G504" s="20">
        <f t="shared" si="17"/>
        <v>855387.16632249916</v>
      </c>
      <c r="H504" s="20">
        <v>0</v>
      </c>
      <c r="I504" s="20">
        <v>0</v>
      </c>
      <c r="J504" s="20">
        <v>0</v>
      </c>
      <c r="K504" s="20">
        <v>183132.56101509649</v>
      </c>
      <c r="L504" s="20">
        <f t="shared" si="16"/>
        <v>1038519.7273375957</v>
      </c>
    </row>
    <row r="505" spans="1:12">
      <c r="A505" s="23" t="s">
        <v>1483</v>
      </c>
      <c r="B505" s="19" t="s">
        <v>2075</v>
      </c>
      <c r="C505" s="19" t="e">
        <f>VLOOKUP(A505,'Distribution Detail'!$A$2:$F$558,5,FALSE)</f>
        <v>#N/A</v>
      </c>
      <c r="D505" s="25">
        <v>632658.78</v>
      </c>
      <c r="E505" s="19">
        <v>0.63280400999999997</v>
      </c>
      <c r="F505" s="20">
        <v>560870.57999999996</v>
      </c>
      <c r="G505" s="20">
        <f t="shared" si="17"/>
        <v>1046384.2141525799</v>
      </c>
      <c r="H505" s="20">
        <v>0</v>
      </c>
      <c r="I505" s="20">
        <v>0</v>
      </c>
      <c r="J505" s="20">
        <v>0</v>
      </c>
      <c r="K505" s="20">
        <v>78001.316896036922</v>
      </c>
      <c r="L505" s="20">
        <f t="shared" si="16"/>
        <v>1124385.5310486169</v>
      </c>
    </row>
    <row r="506" spans="1:12">
      <c r="A506" s="23" t="s">
        <v>1485</v>
      </c>
      <c r="B506" s="19" t="s">
        <v>2074</v>
      </c>
      <c r="C506" s="19" t="e">
        <f>VLOOKUP(A506,'Distribution Detail'!$A$2:$F$558,5,FALSE)</f>
        <v>#N/A</v>
      </c>
      <c r="D506" s="25">
        <v>504509.12</v>
      </c>
      <c r="E506" s="19">
        <v>0.456954833</v>
      </c>
      <c r="F506" s="20">
        <v>351362.03</v>
      </c>
      <c r="G506" s="20">
        <f t="shared" si="17"/>
        <v>907777.24939500308</v>
      </c>
      <c r="H506" s="20">
        <v>0</v>
      </c>
      <c r="I506" s="20">
        <v>0</v>
      </c>
      <c r="J506" s="20">
        <v>0</v>
      </c>
      <c r="K506" s="20">
        <v>166401.64677197489</v>
      </c>
      <c r="L506" s="20">
        <f t="shared" si="16"/>
        <v>1074178.8961669779</v>
      </c>
    </row>
    <row r="507" spans="1:12">
      <c r="A507" s="23" t="s">
        <v>1487</v>
      </c>
      <c r="B507" s="19" t="s">
        <v>2073</v>
      </c>
      <c r="C507" s="19" t="e">
        <f>VLOOKUP(A507,'Distribution Detail'!$A$2:$F$558,5,FALSE)</f>
        <v>#N/A</v>
      </c>
      <c r="D507" s="25">
        <v>607381.19999999995</v>
      </c>
      <c r="E507" s="19">
        <v>0.42184917500000002</v>
      </c>
      <c r="F507" s="20">
        <v>394824.28</v>
      </c>
      <c r="G507" s="20">
        <f t="shared" si="17"/>
        <v>1104954.4866776734</v>
      </c>
      <c r="H507" s="20">
        <v>0</v>
      </c>
      <c r="I507" s="20">
        <v>0</v>
      </c>
      <c r="J507" s="20">
        <v>0</v>
      </c>
      <c r="K507" s="20">
        <v>230953.27192164687</v>
      </c>
      <c r="L507" s="20">
        <f t="shared" si="16"/>
        <v>1335907.7585993202</v>
      </c>
    </row>
    <row r="508" spans="1:12">
      <c r="A508" s="23" t="s">
        <v>1488</v>
      </c>
      <c r="B508" s="19" t="s">
        <v>2072</v>
      </c>
      <c r="C508" s="19" t="e">
        <f>VLOOKUP(A508,'Distribution Detail'!$A$2:$F$558,5,FALSE)</f>
        <v>#N/A</v>
      </c>
      <c r="D508" s="25">
        <v>471302.46</v>
      </c>
      <c r="E508" s="19">
        <v>0.43120086400000002</v>
      </c>
      <c r="F508" s="20">
        <v>323905.21999999997</v>
      </c>
      <c r="G508" s="20">
        <f t="shared" si="17"/>
        <v>886821.19959781657</v>
      </c>
      <c r="H508" s="20">
        <v>0</v>
      </c>
      <c r="I508" s="20">
        <v>0</v>
      </c>
      <c r="J508" s="20">
        <v>0</v>
      </c>
      <c r="K508" s="20">
        <v>160154.15941395951</v>
      </c>
      <c r="L508" s="20">
        <f t="shared" si="16"/>
        <v>1046975.359011776</v>
      </c>
    </row>
    <row r="509" spans="1:12">
      <c r="A509" s="23" t="s">
        <v>1490</v>
      </c>
      <c r="B509" s="19" t="s">
        <v>2071</v>
      </c>
      <c r="C509" s="19" t="e">
        <f>VLOOKUP(A509,'Distribution Detail'!$A$2:$F$558,5,FALSE)</f>
        <v>#N/A</v>
      </c>
      <c r="D509" s="25">
        <v>896732.94</v>
      </c>
      <c r="E509" s="19">
        <v>0.74762085599999994</v>
      </c>
      <c r="F509" s="20">
        <v>693693.94</v>
      </c>
      <c r="G509" s="20">
        <f t="shared" si="17"/>
        <v>1095429.0001440428</v>
      </c>
      <c r="H509" s="20">
        <v>0</v>
      </c>
      <c r="I509" s="20">
        <v>0</v>
      </c>
      <c r="J509" s="20">
        <v>0</v>
      </c>
      <c r="K509" s="20">
        <v>220611.59607365055</v>
      </c>
      <c r="L509" s="20">
        <f t="shared" si="16"/>
        <v>1316040.5962176933</v>
      </c>
    </row>
    <row r="510" spans="1:12">
      <c r="A510" s="23" t="s">
        <v>1492</v>
      </c>
      <c r="B510" s="19" t="s">
        <v>2070</v>
      </c>
      <c r="C510" s="19" t="e">
        <f>VLOOKUP(A510,'Distribution Detail'!$A$2:$F$558,5,FALSE)</f>
        <v>#N/A</v>
      </c>
      <c r="D510" s="25">
        <v>267217.03000000003</v>
      </c>
      <c r="E510" s="19">
        <v>0.57622038799999997</v>
      </c>
      <c r="F510" s="20">
        <v>215039.6</v>
      </c>
      <c r="G510" s="20">
        <f t="shared" si="17"/>
        <v>440582.82646359253</v>
      </c>
      <c r="H510" s="20">
        <v>0</v>
      </c>
      <c r="I510" s="20">
        <v>0</v>
      </c>
      <c r="J510" s="20">
        <v>0</v>
      </c>
      <c r="K510" s="20">
        <v>56693.276224376488</v>
      </c>
      <c r="L510" s="20">
        <f t="shared" si="16"/>
        <v>497276.10268796899</v>
      </c>
    </row>
    <row r="511" spans="1:12">
      <c r="A511" s="23" t="s">
        <v>1494</v>
      </c>
      <c r="B511" s="19" t="s">
        <v>1996</v>
      </c>
      <c r="C511" s="19" t="e">
        <f>VLOOKUP(A511,'Distribution Detail'!$A$2:$F$558,5,FALSE)</f>
        <v>#N/A</v>
      </c>
      <c r="D511" s="25">
        <v>342079.11</v>
      </c>
      <c r="E511" s="19">
        <v>0.57091555400000005</v>
      </c>
      <c r="F511" s="20">
        <v>259800.29</v>
      </c>
      <c r="G511" s="20">
        <f t="shared" si="17"/>
        <v>537236.48403947672</v>
      </c>
      <c r="H511" s="20">
        <v>0</v>
      </c>
      <c r="I511" s="20">
        <v>0</v>
      </c>
      <c r="J511" s="20">
        <v>506.86372299113594</v>
      </c>
      <c r="K511" s="20">
        <v>88893.014149026567</v>
      </c>
      <c r="L511" s="20">
        <f t="shared" si="16"/>
        <v>626636.3619114944</v>
      </c>
    </row>
    <row r="512" spans="1:12">
      <c r="A512" s="23" t="s">
        <v>1496</v>
      </c>
      <c r="B512" s="19" t="s">
        <v>2069</v>
      </c>
      <c r="C512" s="19" t="e">
        <f>VLOOKUP(A512,'Distribution Detail'!$A$2:$F$558,5,FALSE)</f>
        <v>#N/A</v>
      </c>
      <c r="D512" s="25">
        <v>1026783.09</v>
      </c>
      <c r="E512" s="19">
        <v>0.74886365899999996</v>
      </c>
      <c r="F512" s="20">
        <v>826565.95</v>
      </c>
      <c r="G512" s="20">
        <f t="shared" si="17"/>
        <v>1303084.2538951517</v>
      </c>
      <c r="H512" s="20">
        <v>0</v>
      </c>
      <c r="I512" s="20">
        <v>0</v>
      </c>
      <c r="J512" s="20">
        <v>0</v>
      </c>
      <c r="K512" s="20">
        <v>217545.51005817379</v>
      </c>
      <c r="L512" s="20">
        <f t="shared" si="16"/>
        <v>1520629.7639533253</v>
      </c>
    </row>
    <row r="513" spans="1:12">
      <c r="A513" s="23" t="s">
        <v>1498</v>
      </c>
      <c r="B513" s="19" t="s">
        <v>2048</v>
      </c>
      <c r="C513" s="19" t="e">
        <f>VLOOKUP(A513,'Distribution Detail'!$A$2:$F$558,5,FALSE)</f>
        <v>#N/A</v>
      </c>
      <c r="D513" s="25">
        <v>1873018.92</v>
      </c>
      <c r="E513" s="19">
        <v>0.80447469999999999</v>
      </c>
      <c r="F513" s="20">
        <v>1461737.63</v>
      </c>
      <c r="G513" s="20">
        <f t="shared" si="17"/>
        <v>2145135.7392900372</v>
      </c>
      <c r="H513" s="20">
        <v>0</v>
      </c>
      <c r="I513" s="20">
        <v>0</v>
      </c>
      <c r="J513" s="20">
        <v>506.86372299113594</v>
      </c>
      <c r="K513" s="20">
        <v>446369.95217016205</v>
      </c>
      <c r="L513" s="20">
        <f t="shared" si="16"/>
        <v>2592012.5551831904</v>
      </c>
    </row>
    <row r="514" spans="1:12">
      <c r="A514" s="23" t="s">
        <v>1499</v>
      </c>
      <c r="B514" s="19" t="s">
        <v>2068</v>
      </c>
      <c r="C514" s="19" t="e">
        <f>VLOOKUP(A514,'Distribution Detail'!$A$2:$F$558,5,FALSE)</f>
        <v>#N/A</v>
      </c>
      <c r="D514" s="25">
        <v>882300.97</v>
      </c>
      <c r="E514" s="19">
        <v>0.9</v>
      </c>
      <c r="F514" s="20">
        <v>736324.27</v>
      </c>
      <c r="G514" s="20">
        <f t="shared" si="17"/>
        <v>965882.61181496829</v>
      </c>
      <c r="H514" s="20">
        <v>0</v>
      </c>
      <c r="I514" s="20">
        <v>0</v>
      </c>
      <c r="J514" s="20">
        <v>0</v>
      </c>
      <c r="K514" s="20">
        <v>158610.67468104389</v>
      </c>
      <c r="L514" s="20">
        <f t="shared" ref="L514:L577" si="18">SUM(G514:K514)</f>
        <v>1124493.2864960122</v>
      </c>
    </row>
    <row r="515" spans="1:12">
      <c r="A515" s="23" t="s">
        <v>1501</v>
      </c>
      <c r="B515" s="19" t="s">
        <v>2067</v>
      </c>
      <c r="C515" s="19" t="e">
        <f>VLOOKUP(A515,'Distribution Detail'!$A$2:$F$558,5,FALSE)</f>
        <v>#N/A</v>
      </c>
      <c r="D515" s="25">
        <v>1090156.73</v>
      </c>
      <c r="E515" s="19">
        <v>0.845800043</v>
      </c>
      <c r="F515" s="20">
        <v>877601.43</v>
      </c>
      <c r="G515" s="20">
        <f t="shared" ref="G515:G578" si="19">(F515/(IF(E515&lt;0.25,0.25,E515))/0.920346)/0.920346</f>
        <v>1224975.3825250014</v>
      </c>
      <c r="H515" s="20">
        <v>0</v>
      </c>
      <c r="I515" s="20">
        <v>0</v>
      </c>
      <c r="J515" s="20">
        <v>0</v>
      </c>
      <c r="K515" s="20">
        <v>230951.51171407275</v>
      </c>
      <c r="L515" s="20">
        <f t="shared" si="18"/>
        <v>1455926.8942390741</v>
      </c>
    </row>
    <row r="516" spans="1:12">
      <c r="A516" s="23" t="s">
        <v>1503</v>
      </c>
      <c r="B516" s="19" t="s">
        <v>2066</v>
      </c>
      <c r="C516" s="19" t="e">
        <f>VLOOKUP(A516,'Distribution Detail'!$A$2:$F$558,5,FALSE)</f>
        <v>#N/A</v>
      </c>
      <c r="D516" s="25">
        <v>285426.37</v>
      </c>
      <c r="E516" s="19">
        <v>0.56237415899999998</v>
      </c>
      <c r="F516" s="20">
        <v>285426.37</v>
      </c>
      <c r="G516" s="20">
        <f t="shared" si="19"/>
        <v>599192.65256121778</v>
      </c>
      <c r="H516" s="20">
        <v>0</v>
      </c>
      <c r="I516" s="20">
        <v>0</v>
      </c>
      <c r="J516" s="20">
        <v>0</v>
      </c>
      <c r="K516" s="20">
        <v>0</v>
      </c>
      <c r="L516" s="20">
        <f t="shared" si="18"/>
        <v>599192.65256121778</v>
      </c>
    </row>
    <row r="517" spans="1:12">
      <c r="A517" s="23" t="s">
        <v>1505</v>
      </c>
      <c r="B517" s="19" t="s">
        <v>2065</v>
      </c>
      <c r="C517" s="19" t="e">
        <f>VLOOKUP(A517,'Distribution Detail'!$A$2:$F$558,5,FALSE)</f>
        <v>#N/A</v>
      </c>
      <c r="D517" s="25">
        <v>438367.24</v>
      </c>
      <c r="E517" s="19">
        <v>0.37427656599999998</v>
      </c>
      <c r="F517" s="20">
        <v>265140.34000000003</v>
      </c>
      <c r="G517" s="20">
        <f t="shared" si="19"/>
        <v>836336.23704566411</v>
      </c>
      <c r="H517" s="20">
        <v>0</v>
      </c>
      <c r="I517" s="20">
        <v>0</v>
      </c>
      <c r="J517" s="20">
        <v>0</v>
      </c>
      <c r="K517" s="20">
        <v>188219.32186373384</v>
      </c>
      <c r="L517" s="20">
        <f t="shared" si="18"/>
        <v>1024555.5589093979</v>
      </c>
    </row>
    <row r="518" spans="1:12">
      <c r="A518" s="23" t="s">
        <v>1507</v>
      </c>
      <c r="B518" s="19" t="s">
        <v>2064</v>
      </c>
      <c r="C518" s="19" t="e">
        <f>VLOOKUP(A518,'Distribution Detail'!$A$2:$F$558,5,FALSE)</f>
        <v>#N/A</v>
      </c>
      <c r="D518" s="25">
        <v>183654.35</v>
      </c>
      <c r="E518" s="19">
        <v>0.37386023600000001</v>
      </c>
      <c r="F518" s="20">
        <v>137428.04</v>
      </c>
      <c r="G518" s="20">
        <f t="shared" si="19"/>
        <v>433974.10741036059</v>
      </c>
      <c r="H518" s="20">
        <v>0</v>
      </c>
      <c r="I518" s="20">
        <v>0</v>
      </c>
      <c r="J518" s="20">
        <v>0</v>
      </c>
      <c r="K518" s="20">
        <v>50227.099373496487</v>
      </c>
      <c r="L518" s="20">
        <f t="shared" si="18"/>
        <v>484201.20678385708</v>
      </c>
    </row>
    <row r="519" spans="1:12">
      <c r="A519" s="23" t="s">
        <v>1509</v>
      </c>
      <c r="B519" s="19" t="s">
        <v>2063</v>
      </c>
      <c r="C519" s="19" t="e">
        <f>VLOOKUP(A519,'Distribution Detail'!$A$2:$F$558,5,FALSE)</f>
        <v>#N/A</v>
      </c>
      <c r="D519" s="25">
        <v>138735.67000000001</v>
      </c>
      <c r="E519" s="19">
        <v>0.42702068100000001</v>
      </c>
      <c r="F519" s="20">
        <v>90269.04</v>
      </c>
      <c r="G519" s="20">
        <f t="shared" si="19"/>
        <v>249567.28633266076</v>
      </c>
      <c r="H519" s="20">
        <v>0</v>
      </c>
      <c r="I519" s="20">
        <v>0</v>
      </c>
      <c r="J519" s="20">
        <v>0</v>
      </c>
      <c r="K519" s="20">
        <v>52661.314331783913</v>
      </c>
      <c r="L519" s="20">
        <f t="shared" si="18"/>
        <v>302228.60066444468</v>
      </c>
    </row>
    <row r="520" spans="1:12">
      <c r="A520" s="23" t="s">
        <v>1511</v>
      </c>
      <c r="B520" s="19" t="s">
        <v>2062</v>
      </c>
      <c r="C520" s="19" t="e">
        <f>VLOOKUP(A520,'Distribution Detail'!$A$2:$F$558,5,FALSE)</f>
        <v>#N/A</v>
      </c>
      <c r="D520" s="25">
        <v>249852.76</v>
      </c>
      <c r="E520" s="19">
        <v>0.35245579700000002</v>
      </c>
      <c r="F520" s="20">
        <v>150719.41</v>
      </c>
      <c r="G520" s="20">
        <f t="shared" si="19"/>
        <v>504849.8936644526</v>
      </c>
      <c r="H520" s="20">
        <v>1064.4040393504183</v>
      </c>
      <c r="I520" s="20">
        <v>0</v>
      </c>
      <c r="J520" s="20">
        <v>0</v>
      </c>
      <c r="K520" s="20">
        <v>106648.72776108116</v>
      </c>
      <c r="L520" s="20">
        <f t="shared" si="18"/>
        <v>612563.02546488412</v>
      </c>
    </row>
    <row r="521" spans="1:12">
      <c r="A521" s="23" t="s">
        <v>1513</v>
      </c>
      <c r="B521" s="19" t="s">
        <v>2061</v>
      </c>
      <c r="C521" s="19" t="e">
        <f>VLOOKUP(A521,'Distribution Detail'!$A$2:$F$558,5,FALSE)</f>
        <v>#N/A</v>
      </c>
      <c r="D521" s="25">
        <v>272874.96999999997</v>
      </c>
      <c r="E521" s="19">
        <v>0.44593899599999998</v>
      </c>
      <c r="F521" s="20">
        <v>196375.49</v>
      </c>
      <c r="G521" s="20">
        <f t="shared" si="19"/>
        <v>519887.7348543604</v>
      </c>
      <c r="H521" s="20">
        <v>0</v>
      </c>
      <c r="I521" s="20">
        <v>1013.7165805034194</v>
      </c>
      <c r="J521" s="20">
        <v>0</v>
      </c>
      <c r="K521" s="20">
        <v>82106.631636362843</v>
      </c>
      <c r="L521" s="20">
        <f t="shared" si="18"/>
        <v>603008.08307122672</v>
      </c>
    </row>
    <row r="522" spans="1:12">
      <c r="A522" s="23" t="s">
        <v>1515</v>
      </c>
      <c r="B522" s="19" t="s">
        <v>2060</v>
      </c>
      <c r="C522" s="19" t="e">
        <f>VLOOKUP(A522,'Distribution Detail'!$A$2:$F$558,5,FALSE)</f>
        <v>#N/A</v>
      </c>
      <c r="D522" s="25">
        <v>196837.89</v>
      </c>
      <c r="E522" s="19">
        <v>0.41296727799999999</v>
      </c>
      <c r="F522" s="20">
        <v>131613.79</v>
      </c>
      <c r="G522" s="20">
        <f t="shared" si="19"/>
        <v>376256.05358294328</v>
      </c>
      <c r="H522" s="20">
        <v>0</v>
      </c>
      <c r="I522" s="20">
        <v>0</v>
      </c>
      <c r="J522" s="20">
        <v>0</v>
      </c>
      <c r="K522" s="20">
        <v>70869.107922455252</v>
      </c>
      <c r="L522" s="20">
        <f t="shared" si="18"/>
        <v>447125.16150539852</v>
      </c>
    </row>
    <row r="523" spans="1:12">
      <c r="A523" s="23" t="s">
        <v>1517</v>
      </c>
      <c r="B523" s="19" t="s">
        <v>2059</v>
      </c>
      <c r="C523" s="19" t="e">
        <f>VLOOKUP(A523,'Distribution Detail'!$A$2:$F$558,5,FALSE)</f>
        <v>#N/A</v>
      </c>
      <c r="D523" s="25">
        <v>255426.11</v>
      </c>
      <c r="E523" s="19">
        <v>0.37672071699999998</v>
      </c>
      <c r="F523" s="20">
        <v>156232.46</v>
      </c>
      <c r="G523" s="20">
        <f t="shared" si="19"/>
        <v>489609.13125564717</v>
      </c>
      <c r="H523" s="20">
        <v>0</v>
      </c>
      <c r="I523" s="20">
        <v>0</v>
      </c>
      <c r="J523" s="20">
        <v>0</v>
      </c>
      <c r="K523" s="20">
        <v>107778.65063791226</v>
      </c>
      <c r="L523" s="20">
        <f t="shared" si="18"/>
        <v>597387.78189355938</v>
      </c>
    </row>
    <row r="524" spans="1:12">
      <c r="A524" s="23" t="s">
        <v>1519</v>
      </c>
      <c r="B524" s="19" t="s">
        <v>2058</v>
      </c>
      <c r="C524" s="19" t="e">
        <f>VLOOKUP(A524,'Distribution Detail'!$A$2:$F$558,5,FALSE)</f>
        <v>#N/A</v>
      </c>
      <c r="D524" s="25">
        <v>210342.96</v>
      </c>
      <c r="E524" s="19">
        <v>0.47052098399999998</v>
      </c>
      <c r="F524" s="20">
        <v>153373.04</v>
      </c>
      <c r="G524" s="20">
        <f t="shared" si="19"/>
        <v>384828.98114182532</v>
      </c>
      <c r="H524" s="20">
        <v>0</v>
      </c>
      <c r="I524" s="20">
        <v>0</v>
      </c>
      <c r="J524" s="20">
        <v>0</v>
      </c>
      <c r="K524" s="20">
        <v>61900.546098967126</v>
      </c>
      <c r="L524" s="20">
        <f t="shared" si="18"/>
        <v>446729.52724079246</v>
      </c>
    </row>
    <row r="525" spans="1:12">
      <c r="A525" s="23" t="s">
        <v>1521</v>
      </c>
      <c r="B525" s="19" t="s">
        <v>2057</v>
      </c>
      <c r="C525" s="19" t="e">
        <f>VLOOKUP(A525,'Distribution Detail'!$A$2:$F$558,5,FALSE)</f>
        <v>#N/A</v>
      </c>
      <c r="D525" s="25">
        <v>407254.88</v>
      </c>
      <c r="E525" s="19">
        <v>0.486784616</v>
      </c>
      <c r="F525" s="20">
        <v>284357.09000000003</v>
      </c>
      <c r="G525" s="20">
        <f t="shared" si="19"/>
        <v>689643.99387840065</v>
      </c>
      <c r="H525" s="20">
        <v>0</v>
      </c>
      <c r="I525" s="20">
        <v>0</v>
      </c>
      <c r="J525" s="20">
        <v>0</v>
      </c>
      <c r="K525" s="20">
        <v>133534.33382662607</v>
      </c>
      <c r="L525" s="20">
        <f t="shared" si="18"/>
        <v>823178.32770502672</v>
      </c>
    </row>
    <row r="526" spans="1:12">
      <c r="A526" s="23" t="s">
        <v>1523</v>
      </c>
      <c r="B526" s="19" t="s">
        <v>2056</v>
      </c>
      <c r="C526" s="19" t="e">
        <f>VLOOKUP(A526,'Distribution Detail'!$A$2:$F$558,5,FALSE)</f>
        <v>#N/A</v>
      </c>
      <c r="D526" s="25">
        <v>146598.97</v>
      </c>
      <c r="E526" s="19">
        <v>0.41544763699999998</v>
      </c>
      <c r="F526" s="20">
        <v>96202.6</v>
      </c>
      <c r="G526" s="20">
        <f t="shared" si="19"/>
        <v>273380.95619625098</v>
      </c>
      <c r="H526" s="20">
        <v>0</v>
      </c>
      <c r="I526" s="20">
        <v>0</v>
      </c>
      <c r="J526" s="20">
        <v>0</v>
      </c>
      <c r="K526" s="20">
        <v>54758.069247869826</v>
      </c>
      <c r="L526" s="20">
        <f t="shared" si="18"/>
        <v>328139.02544412081</v>
      </c>
    </row>
    <row r="527" spans="1:12">
      <c r="A527" s="23" t="s">
        <v>1525</v>
      </c>
      <c r="B527" s="19" t="s">
        <v>2055</v>
      </c>
      <c r="C527" s="19" t="e">
        <f>VLOOKUP(A527,'Distribution Detail'!$A$2:$F$558,5,FALSE)</f>
        <v>#N/A</v>
      </c>
      <c r="D527" s="25">
        <v>117667.46</v>
      </c>
      <c r="E527" s="19">
        <v>0.46132941599999999</v>
      </c>
      <c r="F527" s="20">
        <v>83749.52</v>
      </c>
      <c r="G527" s="20">
        <f t="shared" si="19"/>
        <v>214323.06958123605</v>
      </c>
      <c r="H527" s="20">
        <v>0</v>
      </c>
      <c r="I527" s="20">
        <v>0</v>
      </c>
      <c r="J527" s="20">
        <v>0</v>
      </c>
      <c r="K527" s="20">
        <v>36853.465979099165</v>
      </c>
      <c r="L527" s="20">
        <f t="shared" si="18"/>
        <v>251176.53556033521</v>
      </c>
    </row>
    <row r="528" spans="1:12">
      <c r="A528" s="23" t="s">
        <v>1527</v>
      </c>
      <c r="B528" s="19" t="s">
        <v>2054</v>
      </c>
      <c r="C528" s="19" t="e">
        <f>VLOOKUP(A528,'Distribution Detail'!$A$2:$F$558,5,FALSE)</f>
        <v>#N/A</v>
      </c>
      <c r="D528" s="25">
        <v>368288.32</v>
      </c>
      <c r="E528" s="19">
        <v>0.427393621</v>
      </c>
      <c r="F528" s="20">
        <v>368288.32</v>
      </c>
      <c r="G528" s="20">
        <f t="shared" si="19"/>
        <v>1017320.1616405913</v>
      </c>
      <c r="H528" s="20">
        <v>0</v>
      </c>
      <c r="I528" s="20">
        <v>0</v>
      </c>
      <c r="J528" s="20">
        <v>0</v>
      </c>
      <c r="K528" s="20">
        <v>0</v>
      </c>
      <c r="L528" s="20">
        <f t="shared" si="18"/>
        <v>1017320.1616405913</v>
      </c>
    </row>
    <row r="529" spans="1:12">
      <c r="A529" s="23" t="s">
        <v>1529</v>
      </c>
      <c r="B529" s="19" t="s">
        <v>2053</v>
      </c>
      <c r="C529" s="19" t="e">
        <f>VLOOKUP(A529,'Distribution Detail'!$A$2:$F$558,5,FALSE)</f>
        <v>#N/A</v>
      </c>
      <c r="D529" s="25">
        <v>535147.71</v>
      </c>
      <c r="E529" s="19">
        <v>0.52571809199999997</v>
      </c>
      <c r="F529" s="20">
        <v>425738.06</v>
      </c>
      <c r="G529" s="20">
        <f t="shared" si="19"/>
        <v>956064.72676128405</v>
      </c>
      <c r="H529" s="20">
        <v>0</v>
      </c>
      <c r="I529" s="20">
        <v>0</v>
      </c>
      <c r="J529" s="20">
        <v>0</v>
      </c>
      <c r="K529" s="20">
        <v>118878.82383364516</v>
      </c>
      <c r="L529" s="20">
        <f t="shared" si="18"/>
        <v>1074943.5505949291</v>
      </c>
    </row>
    <row r="530" spans="1:12">
      <c r="A530" s="23" t="s">
        <v>1531</v>
      </c>
      <c r="B530" s="19" t="s">
        <v>2052</v>
      </c>
      <c r="C530" s="19" t="e">
        <f>VLOOKUP(A530,'Distribution Detail'!$A$2:$F$558,5,FALSE)</f>
        <v>#N/A</v>
      </c>
      <c r="D530" s="25">
        <v>714192.08</v>
      </c>
      <c r="E530" s="19">
        <v>0.22762722699999999</v>
      </c>
      <c r="F530" s="20">
        <v>714192.08</v>
      </c>
      <c r="G530" s="20">
        <f t="shared" si="19"/>
        <v>3372661.5607070415</v>
      </c>
      <c r="H530" s="20">
        <v>0</v>
      </c>
      <c r="I530" s="20">
        <v>0</v>
      </c>
      <c r="J530" s="20">
        <v>0</v>
      </c>
      <c r="K530" s="20">
        <v>0</v>
      </c>
      <c r="L530" s="20">
        <f t="shared" si="18"/>
        <v>3372661.5607070415</v>
      </c>
    </row>
    <row r="531" spans="1:12">
      <c r="A531" s="23" t="s">
        <v>1533</v>
      </c>
      <c r="B531" s="19" t="s">
        <v>1984</v>
      </c>
      <c r="C531" s="19" t="e">
        <f>VLOOKUP(A531,'Distribution Detail'!$A$2:$F$558,5,FALSE)</f>
        <v>#N/A</v>
      </c>
      <c r="D531" s="25">
        <v>979927.63</v>
      </c>
      <c r="E531" s="19">
        <v>0.54790096200000005</v>
      </c>
      <c r="F531" s="20">
        <v>979927.63</v>
      </c>
      <c r="G531" s="20">
        <f t="shared" si="19"/>
        <v>2111493.1748839132</v>
      </c>
      <c r="H531" s="20">
        <v>0</v>
      </c>
      <c r="I531" s="20">
        <v>0</v>
      </c>
      <c r="J531" s="20">
        <v>0</v>
      </c>
      <c r="K531" s="20">
        <v>0</v>
      </c>
      <c r="L531" s="20">
        <f t="shared" si="18"/>
        <v>2111493.1748839132</v>
      </c>
    </row>
    <row r="532" spans="1:12">
      <c r="A532" s="23" t="s">
        <v>1535</v>
      </c>
      <c r="B532" s="19" t="s">
        <v>2051</v>
      </c>
      <c r="C532" s="19" t="e">
        <f>VLOOKUP(A532,'Distribution Detail'!$A$2:$F$558,5,FALSE)</f>
        <v>#N/A</v>
      </c>
      <c r="D532" s="25">
        <v>704724.9</v>
      </c>
      <c r="E532" s="19">
        <v>0.54498751899999998</v>
      </c>
      <c r="F532" s="20">
        <v>704724.9</v>
      </c>
      <c r="G532" s="20">
        <f t="shared" si="19"/>
        <v>1526619.4877820208</v>
      </c>
      <c r="H532" s="20">
        <v>0</v>
      </c>
      <c r="I532" s="20">
        <v>0</v>
      </c>
      <c r="J532" s="20">
        <v>0</v>
      </c>
      <c r="K532" s="20">
        <v>0</v>
      </c>
      <c r="L532" s="20">
        <f t="shared" si="18"/>
        <v>1526619.4877820208</v>
      </c>
    </row>
    <row r="533" spans="1:12">
      <c r="A533" s="23" t="s">
        <v>1537</v>
      </c>
      <c r="B533" s="19" t="s">
        <v>2050</v>
      </c>
      <c r="C533" s="19" t="e">
        <f>VLOOKUP(A533,'Distribution Detail'!$A$2:$F$558,5,FALSE)</f>
        <v>#N/A</v>
      </c>
      <c r="D533" s="25">
        <v>791148.24</v>
      </c>
      <c r="E533" s="19">
        <v>0.43316629000000001</v>
      </c>
      <c r="F533" s="20">
        <v>590438.54</v>
      </c>
      <c r="G533" s="20">
        <f t="shared" si="19"/>
        <v>1609228.7685100262</v>
      </c>
      <c r="H533" s="20">
        <v>0</v>
      </c>
      <c r="I533" s="20">
        <v>0</v>
      </c>
      <c r="J533" s="20">
        <v>0</v>
      </c>
      <c r="K533" s="20">
        <v>218080.70008453343</v>
      </c>
      <c r="L533" s="20">
        <f t="shared" si="18"/>
        <v>1827309.4685945595</v>
      </c>
    </row>
    <row r="534" spans="1:12">
      <c r="A534" s="23" t="s">
        <v>1539</v>
      </c>
      <c r="B534" s="19" t="s">
        <v>2049</v>
      </c>
      <c r="C534" s="19" t="e">
        <f>VLOOKUP(A534,'Distribution Detail'!$A$2:$F$558,5,FALSE)</f>
        <v>#N/A</v>
      </c>
      <c r="D534" s="25">
        <v>762349.91</v>
      </c>
      <c r="E534" s="19">
        <v>0.58876263699999998</v>
      </c>
      <c r="F534" s="20">
        <v>608524.43999999994</v>
      </c>
      <c r="G534" s="20">
        <f t="shared" si="19"/>
        <v>1220212.6564385542</v>
      </c>
      <c r="H534" s="20">
        <v>0</v>
      </c>
      <c r="I534" s="20">
        <v>0</v>
      </c>
      <c r="J534" s="20">
        <v>0</v>
      </c>
      <c r="K534" s="20">
        <v>167138.73912637203</v>
      </c>
      <c r="L534" s="20">
        <f t="shared" si="18"/>
        <v>1387351.3955649263</v>
      </c>
    </row>
    <row r="535" spans="1:12">
      <c r="A535" s="23" t="s">
        <v>1541</v>
      </c>
      <c r="B535" s="19" t="s">
        <v>2048</v>
      </c>
      <c r="C535" s="19" t="e">
        <f>VLOOKUP(A535,'Distribution Detail'!$A$2:$F$558,5,FALSE)</f>
        <v>#N/A</v>
      </c>
      <c r="D535" s="25">
        <v>497040.62</v>
      </c>
      <c r="E535" s="19">
        <v>0.488759887</v>
      </c>
      <c r="F535" s="20">
        <v>497040.62</v>
      </c>
      <c r="G535" s="20">
        <f t="shared" si="19"/>
        <v>1200588.1938662184</v>
      </c>
      <c r="H535" s="20">
        <v>0</v>
      </c>
      <c r="I535" s="20">
        <v>0</v>
      </c>
      <c r="J535" s="20">
        <v>0</v>
      </c>
      <c r="K535" s="20">
        <v>0</v>
      </c>
      <c r="L535" s="20">
        <f t="shared" si="18"/>
        <v>1200588.1938662184</v>
      </c>
    </row>
    <row r="536" spans="1:12">
      <c r="A536" s="23" t="s">
        <v>1542</v>
      </c>
      <c r="B536" s="19" t="s">
        <v>2047</v>
      </c>
      <c r="C536" s="19" t="e">
        <f>VLOOKUP(A536,'Distribution Detail'!$A$2:$F$558,5,FALSE)</f>
        <v>#N/A</v>
      </c>
      <c r="D536" s="25">
        <v>182980.16</v>
      </c>
      <c r="E536" s="19">
        <v>0.58556065199999996</v>
      </c>
      <c r="F536" s="20">
        <v>147504.57</v>
      </c>
      <c r="G536" s="20">
        <f t="shared" si="19"/>
        <v>297393.4040121432</v>
      </c>
      <c r="H536" s="20">
        <v>0</v>
      </c>
      <c r="I536" s="20">
        <v>0</v>
      </c>
      <c r="J536" s="20">
        <v>0</v>
      </c>
      <c r="K536" s="20">
        <v>38545.927292561704</v>
      </c>
      <c r="L536" s="20">
        <f t="shared" si="18"/>
        <v>335939.33130470489</v>
      </c>
    </row>
    <row r="537" spans="1:12">
      <c r="A537" s="23" t="s">
        <v>1544</v>
      </c>
      <c r="B537" s="19" t="s">
        <v>2046</v>
      </c>
      <c r="C537" s="19" t="e">
        <f>VLOOKUP(A537,'Distribution Detail'!$A$2:$F$558,5,FALSE)</f>
        <v>#N/A</v>
      </c>
      <c r="D537" s="25">
        <v>1163055.8700000001</v>
      </c>
      <c r="E537" s="19">
        <v>0.48982726900000001</v>
      </c>
      <c r="F537" s="20">
        <v>1162598.8700000001</v>
      </c>
      <c r="G537" s="20">
        <f t="shared" si="19"/>
        <v>2802106.7695846134</v>
      </c>
      <c r="H537" s="20">
        <v>0</v>
      </c>
      <c r="I537" s="20">
        <v>0</v>
      </c>
      <c r="J537" s="20">
        <v>0</v>
      </c>
      <c r="K537" s="20">
        <v>0</v>
      </c>
      <c r="L537" s="20">
        <f t="shared" si="18"/>
        <v>2802106.7695846134</v>
      </c>
    </row>
    <row r="538" spans="1:12">
      <c r="A538" s="23" t="s">
        <v>1545</v>
      </c>
      <c r="B538" s="19" t="s">
        <v>2045</v>
      </c>
      <c r="C538" s="19" t="e">
        <f>VLOOKUP(A538,'Distribution Detail'!$A$2:$F$558,5,FALSE)</f>
        <v>#N/A</v>
      </c>
      <c r="D538" s="25">
        <v>1375819.44</v>
      </c>
      <c r="E538" s="19">
        <v>0.42632524199999999</v>
      </c>
      <c r="F538" s="20">
        <v>1375819.44</v>
      </c>
      <c r="G538" s="20">
        <f t="shared" si="19"/>
        <v>3809939.99809448</v>
      </c>
      <c r="H538" s="20">
        <v>0</v>
      </c>
      <c r="I538" s="20">
        <v>0</v>
      </c>
      <c r="J538" s="20">
        <v>0</v>
      </c>
      <c r="K538" s="20">
        <v>0</v>
      </c>
      <c r="L538" s="20">
        <f t="shared" si="18"/>
        <v>3809939.99809448</v>
      </c>
    </row>
    <row r="539" spans="1:12">
      <c r="A539" s="23" t="s">
        <v>1547</v>
      </c>
      <c r="B539" s="19" t="s">
        <v>2044</v>
      </c>
      <c r="C539" s="19" t="e">
        <f>VLOOKUP(A539,'Distribution Detail'!$A$2:$F$558,5,FALSE)</f>
        <v>#N/A</v>
      </c>
      <c r="D539" s="25">
        <v>610841.59</v>
      </c>
      <c r="E539" s="19">
        <v>0.60482401399999997</v>
      </c>
      <c r="F539" s="20">
        <v>472869.67</v>
      </c>
      <c r="G539" s="20">
        <f t="shared" si="19"/>
        <v>923018.00928778644</v>
      </c>
      <c r="H539" s="20">
        <v>0</v>
      </c>
      <c r="I539" s="20">
        <v>0</v>
      </c>
      <c r="J539" s="20">
        <v>0</v>
      </c>
      <c r="K539" s="20">
        <v>149913.09790013757</v>
      </c>
      <c r="L539" s="20">
        <f t="shared" si="18"/>
        <v>1072931.107187924</v>
      </c>
    </row>
    <row r="540" spans="1:12">
      <c r="A540" s="23" t="s">
        <v>1549</v>
      </c>
      <c r="B540" s="19" t="s">
        <v>2043</v>
      </c>
      <c r="C540" s="19" t="e">
        <f>VLOOKUP(A540,'Distribution Detail'!$A$2:$F$558,5,FALSE)</f>
        <v>#N/A</v>
      </c>
      <c r="D540" s="25">
        <v>370134.74</v>
      </c>
      <c r="E540" s="19">
        <v>0.47858727400000001</v>
      </c>
      <c r="F540" s="20">
        <v>303180.14</v>
      </c>
      <c r="G540" s="20">
        <f t="shared" si="19"/>
        <v>747889.34279466397</v>
      </c>
      <c r="H540" s="20">
        <v>0</v>
      </c>
      <c r="I540" s="20">
        <v>0</v>
      </c>
      <c r="J540" s="20">
        <v>0</v>
      </c>
      <c r="K540" s="20">
        <v>72749.379037883584</v>
      </c>
      <c r="L540" s="20">
        <f t="shared" si="18"/>
        <v>820638.72183254757</v>
      </c>
    </row>
    <row r="541" spans="1:12">
      <c r="A541" s="23" t="s">
        <v>1551</v>
      </c>
      <c r="B541" s="19" t="s">
        <v>2042</v>
      </c>
      <c r="C541" s="19" t="e">
        <f>VLOOKUP(A541,'Distribution Detail'!$A$2:$F$558,5,FALSE)</f>
        <v>#N/A</v>
      </c>
      <c r="D541" s="25">
        <v>306593.12</v>
      </c>
      <c r="E541" s="19">
        <v>0.17919315199999999</v>
      </c>
      <c r="F541" s="20">
        <v>285023.75</v>
      </c>
      <c r="G541" s="20">
        <f t="shared" si="19"/>
        <v>1345980.5456167669</v>
      </c>
      <c r="H541" s="20">
        <v>0</v>
      </c>
      <c r="I541" s="20">
        <v>0</v>
      </c>
      <c r="J541" s="20">
        <v>0</v>
      </c>
      <c r="K541" s="20">
        <v>23436.153359714714</v>
      </c>
      <c r="L541" s="20">
        <f t="shared" si="18"/>
        <v>1369416.6989764816</v>
      </c>
    </row>
    <row r="542" spans="1:12">
      <c r="A542" s="23" t="s">
        <v>1553</v>
      </c>
      <c r="B542" s="19" t="s">
        <v>2041</v>
      </c>
      <c r="C542" s="19" t="e">
        <f>VLOOKUP(A542,'Distribution Detail'!$A$2:$F$558,5,FALSE)</f>
        <v>#N/A</v>
      </c>
      <c r="D542" s="25">
        <v>414940.47</v>
      </c>
      <c r="E542" s="19">
        <v>8.1091053999999996E-2</v>
      </c>
      <c r="F542" s="20">
        <v>414473.98</v>
      </c>
      <c r="G542" s="20">
        <f t="shared" si="19"/>
        <v>1957289.2214924297</v>
      </c>
      <c r="H542" s="20">
        <v>0</v>
      </c>
      <c r="I542" s="20">
        <v>0</v>
      </c>
      <c r="J542" s="20">
        <v>506.86372299113594</v>
      </c>
      <c r="K542" s="20">
        <v>0</v>
      </c>
      <c r="L542" s="20">
        <f t="shared" si="18"/>
        <v>1957796.0852154209</v>
      </c>
    </row>
    <row r="543" spans="1:12">
      <c r="A543" s="23" t="s">
        <v>1555</v>
      </c>
      <c r="B543" s="19" t="s">
        <v>2040</v>
      </c>
      <c r="C543" s="19" t="e">
        <f>VLOOKUP(A543,'Distribution Detail'!$A$2:$F$558,5,FALSE)</f>
        <v>#N/A</v>
      </c>
      <c r="D543" s="25">
        <v>303615.49</v>
      </c>
      <c r="E543" s="19">
        <v>0.31873396199999998</v>
      </c>
      <c r="F543" s="20">
        <v>303615.49</v>
      </c>
      <c r="G543" s="20">
        <f t="shared" si="19"/>
        <v>1124587.6900638482</v>
      </c>
      <c r="H543" s="20">
        <v>0</v>
      </c>
      <c r="I543" s="20">
        <v>0</v>
      </c>
      <c r="J543" s="20">
        <v>0</v>
      </c>
      <c r="K543" s="20">
        <v>0</v>
      </c>
      <c r="L543" s="20">
        <f t="shared" si="18"/>
        <v>1124587.6900638482</v>
      </c>
    </row>
    <row r="544" spans="1:12">
      <c r="A544" s="23" t="s">
        <v>1557</v>
      </c>
      <c r="B544" s="19" t="s">
        <v>2039</v>
      </c>
      <c r="C544" s="19" t="e">
        <f>VLOOKUP(A544,'Distribution Detail'!$A$2:$F$558,5,FALSE)</f>
        <v>#N/A</v>
      </c>
      <c r="D544" s="25">
        <v>282946.27</v>
      </c>
      <c r="E544" s="19">
        <v>0.44599010900000002</v>
      </c>
      <c r="F544" s="20">
        <v>282946.27</v>
      </c>
      <c r="G544" s="20">
        <f t="shared" si="19"/>
        <v>748990.80769353814</v>
      </c>
      <c r="H544" s="20">
        <v>0</v>
      </c>
      <c r="I544" s="20">
        <v>0</v>
      </c>
      <c r="J544" s="20">
        <v>0</v>
      </c>
      <c r="K544" s="20">
        <v>0</v>
      </c>
      <c r="L544" s="20">
        <f t="shared" si="18"/>
        <v>748990.80769353814</v>
      </c>
    </row>
    <row r="545" spans="1:12">
      <c r="A545" s="23" t="s">
        <v>1558</v>
      </c>
      <c r="B545" s="19" t="s">
        <v>1996</v>
      </c>
      <c r="C545" s="19" t="e">
        <f>VLOOKUP(A545,'Distribution Detail'!$A$2:$F$558,5,FALSE)</f>
        <v>#N/A</v>
      </c>
      <c r="D545" s="25">
        <v>938972.02</v>
      </c>
      <c r="E545" s="19">
        <v>0.37483361300000001</v>
      </c>
      <c r="F545" s="20">
        <v>938972.02</v>
      </c>
      <c r="G545" s="20">
        <f t="shared" si="19"/>
        <v>2957412.22497231</v>
      </c>
      <c r="H545" s="20">
        <v>0</v>
      </c>
      <c r="I545" s="20">
        <v>0</v>
      </c>
      <c r="J545" s="20">
        <v>0</v>
      </c>
      <c r="K545" s="20">
        <v>0</v>
      </c>
      <c r="L545" s="20">
        <f t="shared" si="18"/>
        <v>2957412.22497231</v>
      </c>
    </row>
    <row r="546" spans="1:12">
      <c r="A546" s="23" t="s">
        <v>1559</v>
      </c>
      <c r="B546" s="19" t="s">
        <v>2038</v>
      </c>
      <c r="C546" s="19" t="e">
        <f>VLOOKUP(A546,'Distribution Detail'!$A$2:$F$558,5,FALSE)</f>
        <v>#N/A</v>
      </c>
      <c r="D546" s="25">
        <v>616696.22</v>
      </c>
      <c r="E546" s="19">
        <v>0.23759097500000001</v>
      </c>
      <c r="F546" s="20">
        <v>616696.22</v>
      </c>
      <c r="G546" s="20">
        <f t="shared" si="19"/>
        <v>2912252.4515076294</v>
      </c>
      <c r="H546" s="20">
        <v>0</v>
      </c>
      <c r="I546" s="20">
        <v>0</v>
      </c>
      <c r="J546" s="20">
        <v>0</v>
      </c>
      <c r="K546" s="20">
        <v>0</v>
      </c>
      <c r="L546" s="20">
        <f t="shared" si="18"/>
        <v>2912252.4515076294</v>
      </c>
    </row>
    <row r="547" spans="1:12">
      <c r="A547" s="23" t="s">
        <v>1561</v>
      </c>
      <c r="B547" s="19" t="s">
        <v>2037</v>
      </c>
      <c r="C547" s="19" t="e">
        <f>VLOOKUP(A547,'Distribution Detail'!$A$2:$F$558,5,FALSE)</f>
        <v>#N/A</v>
      </c>
      <c r="D547" s="25">
        <v>67327.520000000004</v>
      </c>
      <c r="E547" s="19">
        <v>0.49967489399999998</v>
      </c>
      <c r="F547" s="20">
        <v>67327.520000000004</v>
      </c>
      <c r="G547" s="20">
        <f t="shared" si="19"/>
        <v>159075.32907303481</v>
      </c>
      <c r="H547" s="20">
        <v>0</v>
      </c>
      <c r="I547" s="20">
        <v>0</v>
      </c>
      <c r="J547" s="20">
        <v>0</v>
      </c>
      <c r="K547" s="20">
        <v>0</v>
      </c>
      <c r="L547" s="20">
        <f t="shared" si="18"/>
        <v>159075.32907303481</v>
      </c>
    </row>
    <row r="548" spans="1:12">
      <c r="A548" s="23" t="s">
        <v>1563</v>
      </c>
      <c r="B548" s="19" t="s">
        <v>2036</v>
      </c>
      <c r="C548" s="19" t="e">
        <f>VLOOKUP(A548,'Distribution Detail'!$A$2:$F$558,5,FALSE)</f>
        <v>#N/A</v>
      </c>
      <c r="D548" s="25">
        <v>512669.56</v>
      </c>
      <c r="E548" s="19">
        <v>0.110669555</v>
      </c>
      <c r="F548" s="20">
        <v>512669.56</v>
      </c>
      <c r="G548" s="20">
        <f t="shared" si="19"/>
        <v>2421002.6500946246</v>
      </c>
      <c r="H548" s="20">
        <v>0</v>
      </c>
      <c r="I548" s="20">
        <v>0</v>
      </c>
      <c r="J548" s="20">
        <v>0</v>
      </c>
      <c r="K548" s="20">
        <v>0</v>
      </c>
      <c r="L548" s="20">
        <f t="shared" si="18"/>
        <v>2421002.6500946246</v>
      </c>
    </row>
    <row r="549" spans="1:12">
      <c r="A549" s="23" t="s">
        <v>1565</v>
      </c>
      <c r="B549" s="19" t="s">
        <v>2035</v>
      </c>
      <c r="C549" s="19" t="e">
        <f>VLOOKUP(A549,'Distribution Detail'!$A$2:$F$558,5,FALSE)</f>
        <v>#N/A</v>
      </c>
      <c r="D549" s="25">
        <v>394415.03</v>
      </c>
      <c r="E549" s="19">
        <v>0.05</v>
      </c>
      <c r="F549" s="20">
        <v>394415.03</v>
      </c>
      <c r="G549" s="20">
        <f t="shared" si="19"/>
        <v>1862563.934685631</v>
      </c>
      <c r="H549" s="20">
        <v>0</v>
      </c>
      <c r="I549" s="20">
        <v>0</v>
      </c>
      <c r="J549" s="20">
        <v>0</v>
      </c>
      <c r="K549" s="20">
        <v>0</v>
      </c>
      <c r="L549" s="20">
        <f t="shared" si="18"/>
        <v>1862563.934685631</v>
      </c>
    </row>
    <row r="550" spans="1:12">
      <c r="A550" s="23" t="s">
        <v>1567</v>
      </c>
      <c r="B550" s="19" t="s">
        <v>2034</v>
      </c>
      <c r="C550" s="19" t="e">
        <f>VLOOKUP(A550,'Distribution Detail'!$A$2:$F$558,5,FALSE)</f>
        <v>#N/A</v>
      </c>
      <c r="D550" s="25">
        <v>441348.17</v>
      </c>
      <c r="E550" s="19">
        <v>0.43280406399999999</v>
      </c>
      <c r="F550" s="20">
        <v>441348.17</v>
      </c>
      <c r="G550" s="20">
        <f t="shared" si="19"/>
        <v>1203892.5912150238</v>
      </c>
      <c r="H550" s="20">
        <v>0</v>
      </c>
      <c r="I550" s="20">
        <v>0</v>
      </c>
      <c r="J550" s="20">
        <v>0</v>
      </c>
      <c r="K550" s="20">
        <v>0</v>
      </c>
      <c r="L550" s="20">
        <f t="shared" si="18"/>
        <v>1203892.5912150238</v>
      </c>
    </row>
    <row r="551" spans="1:12">
      <c r="A551" s="23" t="s">
        <v>1568</v>
      </c>
      <c r="B551" s="19" t="s">
        <v>2033</v>
      </c>
      <c r="C551" s="19" t="e">
        <f>VLOOKUP(A551,'Distribution Detail'!$A$2:$F$558,5,FALSE)</f>
        <v>#N/A</v>
      </c>
      <c r="D551" s="25">
        <v>727025.34</v>
      </c>
      <c r="E551" s="19">
        <v>0.283365533</v>
      </c>
      <c r="F551" s="20">
        <v>727025.34</v>
      </c>
      <c r="G551" s="20">
        <f t="shared" si="19"/>
        <v>3029006.9230340333</v>
      </c>
      <c r="H551" s="20">
        <v>0</v>
      </c>
      <c r="I551" s="20">
        <v>0</v>
      </c>
      <c r="J551" s="20">
        <v>0</v>
      </c>
      <c r="K551" s="20">
        <v>0</v>
      </c>
      <c r="L551" s="20">
        <f t="shared" si="18"/>
        <v>3029006.9230340333</v>
      </c>
    </row>
    <row r="552" spans="1:12">
      <c r="A552" s="23" t="s">
        <v>1570</v>
      </c>
      <c r="B552" s="19" t="s">
        <v>2032</v>
      </c>
      <c r="C552" s="19" t="e">
        <f>VLOOKUP(A552,'Distribution Detail'!$A$2:$F$558,5,FALSE)</f>
        <v>#N/A</v>
      </c>
      <c r="D552" s="25">
        <v>162267.79</v>
      </c>
      <c r="E552" s="19">
        <v>0.293058971</v>
      </c>
      <c r="F552" s="20">
        <v>87723.83</v>
      </c>
      <c r="G552" s="20">
        <f t="shared" si="19"/>
        <v>353394.92299928475</v>
      </c>
      <c r="H552" s="20">
        <v>0</v>
      </c>
      <c r="I552" s="20">
        <v>0</v>
      </c>
      <c r="J552" s="20">
        <v>0</v>
      </c>
      <c r="K552" s="20">
        <v>80995.582096298574</v>
      </c>
      <c r="L552" s="20">
        <f t="shared" si="18"/>
        <v>434390.50509558333</v>
      </c>
    </row>
    <row r="553" spans="1:12">
      <c r="A553" s="23" t="s">
        <v>1572</v>
      </c>
      <c r="B553" s="19" t="s">
        <v>2031</v>
      </c>
      <c r="C553" s="19" t="e">
        <f>VLOOKUP(A553,'Distribution Detail'!$A$2:$F$558,5,FALSE)</f>
        <v>#N/A</v>
      </c>
      <c r="D553" s="25">
        <v>294760.19</v>
      </c>
      <c r="E553" s="19">
        <v>0.48431448500000002</v>
      </c>
      <c r="F553" s="20">
        <v>205542.6</v>
      </c>
      <c r="G553" s="20">
        <f t="shared" si="19"/>
        <v>501039.68922987866</v>
      </c>
      <c r="H553" s="20">
        <v>0</v>
      </c>
      <c r="I553" s="20">
        <v>0</v>
      </c>
      <c r="J553" s="20">
        <v>0</v>
      </c>
      <c r="K553" s="20">
        <v>96939.183741766683</v>
      </c>
      <c r="L553" s="20">
        <f t="shared" si="18"/>
        <v>597978.87297164532</v>
      </c>
    </row>
    <row r="554" spans="1:12">
      <c r="A554" s="23" t="s">
        <v>1574</v>
      </c>
      <c r="B554" s="19" t="s">
        <v>2030</v>
      </c>
      <c r="C554" s="19" t="e">
        <f>VLOOKUP(A554,'Distribution Detail'!$A$2:$F$558,5,FALSE)</f>
        <v>#N/A</v>
      </c>
      <c r="D554" s="25">
        <v>347401.82</v>
      </c>
      <c r="E554" s="19">
        <v>0.56200797499999999</v>
      </c>
      <c r="F554" s="20">
        <v>327187.65000000002</v>
      </c>
      <c r="G554" s="20">
        <f t="shared" si="19"/>
        <v>687309.21370217472</v>
      </c>
      <c r="H554" s="20">
        <v>0</v>
      </c>
      <c r="I554" s="20">
        <v>0</v>
      </c>
      <c r="J554" s="20">
        <v>0</v>
      </c>
      <c r="K554" s="20">
        <v>21963.663665621407</v>
      </c>
      <c r="L554" s="20">
        <f t="shared" si="18"/>
        <v>709272.87736779614</v>
      </c>
    </row>
    <row r="555" spans="1:12">
      <c r="A555" s="23" t="s">
        <v>1575</v>
      </c>
      <c r="B555" s="19" t="s">
        <v>2029</v>
      </c>
      <c r="C555" s="19" t="e">
        <f>VLOOKUP(A555,'Distribution Detail'!$A$2:$F$558,5,FALSE)</f>
        <v>#N/A</v>
      </c>
      <c r="D555" s="25">
        <v>459587.33</v>
      </c>
      <c r="E555" s="19">
        <v>0.58090132999999999</v>
      </c>
      <c r="F555" s="20">
        <v>459587.33</v>
      </c>
      <c r="G555" s="20">
        <f t="shared" si="19"/>
        <v>934035.57647825812</v>
      </c>
      <c r="H555" s="20">
        <v>0</v>
      </c>
      <c r="I555" s="20">
        <v>0</v>
      </c>
      <c r="J555" s="20">
        <v>0</v>
      </c>
      <c r="K555" s="20">
        <v>0</v>
      </c>
      <c r="L555" s="20">
        <f t="shared" si="18"/>
        <v>934035.57647825812</v>
      </c>
    </row>
    <row r="556" spans="1:12">
      <c r="A556" s="23" t="s">
        <v>1577</v>
      </c>
      <c r="B556" s="19" t="s">
        <v>2028</v>
      </c>
      <c r="C556" s="19" t="e">
        <f>VLOOKUP(A556,'Distribution Detail'!$A$2:$F$558,5,FALSE)</f>
        <v>#N/A</v>
      </c>
      <c r="D556" s="25">
        <v>280164.09000000003</v>
      </c>
      <c r="E556" s="19">
        <v>0.31390639799999998</v>
      </c>
      <c r="F556" s="20">
        <v>174505.06</v>
      </c>
      <c r="G556" s="20">
        <f t="shared" si="19"/>
        <v>656304.8273028913</v>
      </c>
      <c r="H556" s="20">
        <v>0</v>
      </c>
      <c r="I556" s="20">
        <v>0</v>
      </c>
      <c r="J556" s="20">
        <v>0</v>
      </c>
      <c r="K556" s="20">
        <v>114803.59560426188</v>
      </c>
      <c r="L556" s="20">
        <f t="shared" si="18"/>
        <v>771108.42290715314</v>
      </c>
    </row>
    <row r="557" spans="1:12">
      <c r="A557" s="23" t="s">
        <v>1579</v>
      </c>
      <c r="B557" s="19" t="s">
        <v>2027</v>
      </c>
      <c r="C557" s="19" t="e">
        <f>VLOOKUP(A557,'Distribution Detail'!$A$2:$F$558,5,FALSE)</f>
        <v>#N/A</v>
      </c>
      <c r="D557" s="25">
        <v>440485.59</v>
      </c>
      <c r="E557" s="19">
        <v>0.33747698300000001</v>
      </c>
      <c r="F557" s="20">
        <v>440485.59</v>
      </c>
      <c r="G557" s="20">
        <f t="shared" si="19"/>
        <v>1540938.4407134755</v>
      </c>
      <c r="H557" s="20">
        <v>0</v>
      </c>
      <c r="I557" s="20">
        <v>0</v>
      </c>
      <c r="J557" s="20">
        <v>0</v>
      </c>
      <c r="K557" s="20">
        <v>0</v>
      </c>
      <c r="L557" s="20">
        <f t="shared" si="18"/>
        <v>1540938.4407134755</v>
      </c>
    </row>
    <row r="558" spans="1:12">
      <c r="A558" s="23" t="s">
        <v>1581</v>
      </c>
      <c r="B558" s="19" t="s">
        <v>2026</v>
      </c>
      <c r="C558" s="19" t="e">
        <f>VLOOKUP(A558,'Distribution Detail'!$A$2:$F$558,5,FALSE)</f>
        <v>#N/A</v>
      </c>
      <c r="D558" s="25">
        <v>553150.34</v>
      </c>
      <c r="E558" s="19">
        <v>0.43367356899999998</v>
      </c>
      <c r="F558" s="20">
        <v>359703.55</v>
      </c>
      <c r="G558" s="20">
        <f t="shared" si="19"/>
        <v>979218.27855181799</v>
      </c>
      <c r="H558" s="20">
        <v>0</v>
      </c>
      <c r="I558" s="20">
        <v>0</v>
      </c>
      <c r="J558" s="20">
        <v>0</v>
      </c>
      <c r="K558" s="20">
        <v>210189.20058325891</v>
      </c>
      <c r="L558" s="20">
        <f t="shared" si="18"/>
        <v>1189407.479135077</v>
      </c>
    </row>
    <row r="559" spans="1:12">
      <c r="A559" s="23" t="s">
        <v>1583</v>
      </c>
      <c r="B559" s="19" t="s">
        <v>2025</v>
      </c>
      <c r="C559" s="19" t="e">
        <f>VLOOKUP(A559,'Distribution Detail'!$A$2:$F$558,5,FALSE)</f>
        <v>#N/A</v>
      </c>
      <c r="D559" s="25">
        <v>411405.82</v>
      </c>
      <c r="E559" s="19">
        <v>0.44317731599999999</v>
      </c>
      <c r="F559" s="20">
        <v>411405.82</v>
      </c>
      <c r="G559" s="20">
        <f t="shared" si="19"/>
        <v>1095949.7703388552</v>
      </c>
      <c r="H559" s="20">
        <v>0</v>
      </c>
      <c r="I559" s="20">
        <v>0</v>
      </c>
      <c r="J559" s="20">
        <v>0</v>
      </c>
      <c r="K559" s="20">
        <v>0</v>
      </c>
      <c r="L559" s="20">
        <f t="shared" si="18"/>
        <v>1095949.7703388552</v>
      </c>
    </row>
    <row r="560" spans="1:12">
      <c r="A560" s="23" t="s">
        <v>1585</v>
      </c>
      <c r="B560" s="19" t="s">
        <v>2024</v>
      </c>
      <c r="C560" s="19" t="e">
        <f>VLOOKUP(A560,'Distribution Detail'!$A$2:$F$558,5,FALSE)</f>
        <v>#N/A</v>
      </c>
      <c r="D560" s="25">
        <v>379832.82</v>
      </c>
      <c r="E560" s="19">
        <v>0.40793607599999998</v>
      </c>
      <c r="F560" s="20">
        <v>379832.82</v>
      </c>
      <c r="G560" s="20">
        <f t="shared" si="19"/>
        <v>1099254.1542719731</v>
      </c>
      <c r="H560" s="20">
        <v>0</v>
      </c>
      <c r="I560" s="20">
        <v>0</v>
      </c>
      <c r="J560" s="20">
        <v>0</v>
      </c>
      <c r="K560" s="20">
        <v>0</v>
      </c>
      <c r="L560" s="20">
        <f t="shared" si="18"/>
        <v>1099254.1542719731</v>
      </c>
    </row>
    <row r="561" spans="1:12">
      <c r="A561" s="23" t="s">
        <v>1587</v>
      </c>
      <c r="B561" s="19" t="s">
        <v>2023</v>
      </c>
      <c r="C561" s="19" t="e">
        <f>VLOOKUP(A561,'Distribution Detail'!$A$2:$F$558,5,FALSE)</f>
        <v>#N/A</v>
      </c>
      <c r="D561" s="25">
        <v>129504.61</v>
      </c>
      <c r="E561" s="19">
        <v>0.32060061299999998</v>
      </c>
      <c r="F561" s="20">
        <v>86138.49</v>
      </c>
      <c r="G561" s="20">
        <f t="shared" si="19"/>
        <v>317198.15144253027</v>
      </c>
      <c r="H561" s="20">
        <v>0</v>
      </c>
      <c r="I561" s="20">
        <v>0</v>
      </c>
      <c r="J561" s="20">
        <v>0</v>
      </c>
      <c r="K561" s="20">
        <v>46794.368639620319</v>
      </c>
      <c r="L561" s="20">
        <f t="shared" si="18"/>
        <v>363992.52008215059</v>
      </c>
    </row>
    <row r="562" spans="1:12">
      <c r="A562" s="23" t="s">
        <v>1589</v>
      </c>
      <c r="B562" s="19" t="s">
        <v>2022</v>
      </c>
      <c r="C562" s="19" t="e">
        <f>VLOOKUP(A562,'Distribution Detail'!$A$2:$F$558,5,FALSE)</f>
        <v>#N/A</v>
      </c>
      <c r="D562" s="25">
        <v>472981.65</v>
      </c>
      <c r="E562" s="19">
        <v>0.48913677999999999</v>
      </c>
      <c r="F562" s="20">
        <v>324802.09000000003</v>
      </c>
      <c r="G562" s="20">
        <f t="shared" si="19"/>
        <v>783946.15902980149</v>
      </c>
      <c r="H562" s="20">
        <v>0</v>
      </c>
      <c r="I562" s="20">
        <v>0</v>
      </c>
      <c r="J562" s="20">
        <v>0</v>
      </c>
      <c r="K562" s="20">
        <v>161004.18755554975</v>
      </c>
      <c r="L562" s="20">
        <f t="shared" si="18"/>
        <v>944950.34658535128</v>
      </c>
    </row>
    <row r="563" spans="1:12">
      <c r="A563" s="23" t="s">
        <v>1591</v>
      </c>
      <c r="B563" s="19" t="s">
        <v>2021</v>
      </c>
      <c r="C563" s="19" t="e">
        <f>VLOOKUP(A563,'Distribution Detail'!$A$2:$F$558,5,FALSE)</f>
        <v>#N/A</v>
      </c>
      <c r="D563" s="25">
        <v>53325.4</v>
      </c>
      <c r="E563" s="19">
        <v>0.76850557799999997</v>
      </c>
      <c r="F563" s="20">
        <v>53325.4</v>
      </c>
      <c r="G563" s="20">
        <f t="shared" si="19"/>
        <v>81919.037225750988</v>
      </c>
      <c r="H563" s="20">
        <v>0</v>
      </c>
      <c r="I563" s="20">
        <v>0</v>
      </c>
      <c r="J563" s="20">
        <v>0</v>
      </c>
      <c r="K563" s="20">
        <v>0</v>
      </c>
      <c r="L563" s="20">
        <f t="shared" si="18"/>
        <v>81919.037225750988</v>
      </c>
    </row>
    <row r="564" spans="1:12">
      <c r="A564" s="23" t="s">
        <v>1592</v>
      </c>
      <c r="B564" s="19" t="s">
        <v>2020</v>
      </c>
      <c r="C564" s="19" t="e">
        <f>VLOOKUP(A564,'Distribution Detail'!$A$2:$F$558,5,FALSE)</f>
        <v>#N/A</v>
      </c>
      <c r="D564" s="25">
        <v>199274.9</v>
      </c>
      <c r="E564" s="19">
        <v>0.53131605900000001</v>
      </c>
      <c r="F564" s="20">
        <v>153668.37</v>
      </c>
      <c r="G564" s="20">
        <f t="shared" si="19"/>
        <v>341451.70348144742</v>
      </c>
      <c r="H564" s="20">
        <v>0</v>
      </c>
      <c r="I564" s="20">
        <v>0</v>
      </c>
      <c r="J564" s="20">
        <v>0</v>
      </c>
      <c r="K564" s="20">
        <v>49553.678725175094</v>
      </c>
      <c r="L564" s="20">
        <f t="shared" si="18"/>
        <v>391005.38220662251</v>
      </c>
    </row>
    <row r="565" spans="1:12">
      <c r="A565" s="23" t="s">
        <v>1594</v>
      </c>
      <c r="B565" s="19" t="s">
        <v>2019</v>
      </c>
      <c r="C565" s="19" t="e">
        <f>VLOOKUP(A565,'Distribution Detail'!$A$2:$F$558,5,FALSE)</f>
        <v>#N/A</v>
      </c>
      <c r="D565" s="25">
        <v>406143.03</v>
      </c>
      <c r="E565" s="19">
        <v>0.66218347799999999</v>
      </c>
      <c r="F565" s="20">
        <v>345143.35</v>
      </c>
      <c r="G565" s="20">
        <f t="shared" si="19"/>
        <v>615345.33325100353</v>
      </c>
      <c r="H565" s="20">
        <v>1419.2053858005577</v>
      </c>
      <c r="I565" s="20">
        <v>0</v>
      </c>
      <c r="J565" s="20">
        <v>0</v>
      </c>
      <c r="K565" s="20">
        <v>64859.867919239063</v>
      </c>
      <c r="L565" s="20">
        <f t="shared" si="18"/>
        <v>681624.40655604319</v>
      </c>
    </row>
    <row r="566" spans="1:12">
      <c r="A566" s="23" t="s">
        <v>1595</v>
      </c>
      <c r="B566" s="19" t="s">
        <v>2018</v>
      </c>
      <c r="C566" s="19" t="e">
        <f>VLOOKUP(A566,'Distribution Detail'!$A$2:$F$558,5,FALSE)</f>
        <v>#N/A</v>
      </c>
      <c r="D566" s="25">
        <v>169533.51</v>
      </c>
      <c r="E566" s="19">
        <v>0.57870344900000004</v>
      </c>
      <c r="F566" s="20">
        <v>169533.51</v>
      </c>
      <c r="G566" s="20">
        <f t="shared" si="19"/>
        <v>345857.52136128867</v>
      </c>
      <c r="H566" s="20">
        <v>0</v>
      </c>
      <c r="I566" s="20">
        <v>0</v>
      </c>
      <c r="J566" s="20">
        <v>0</v>
      </c>
      <c r="K566" s="20">
        <v>0</v>
      </c>
      <c r="L566" s="20">
        <f t="shared" si="18"/>
        <v>345857.52136128867</v>
      </c>
    </row>
    <row r="567" spans="1:12">
      <c r="A567" s="23" t="s">
        <v>1597</v>
      </c>
      <c r="B567" s="19" t="s">
        <v>2017</v>
      </c>
      <c r="C567" s="19" t="e">
        <f>VLOOKUP(A567,'Distribution Detail'!$A$2:$F$558,5,FALSE)</f>
        <v>#N/A</v>
      </c>
      <c r="D567" s="25">
        <v>562624.18000000005</v>
      </c>
      <c r="E567" s="19">
        <v>0.35644913700000003</v>
      </c>
      <c r="F567" s="20">
        <v>350869.85</v>
      </c>
      <c r="G567" s="20">
        <f t="shared" si="19"/>
        <v>1162107.2894614432</v>
      </c>
      <c r="H567" s="20">
        <v>0</v>
      </c>
      <c r="I567" s="20">
        <v>0</v>
      </c>
      <c r="J567" s="20">
        <v>0</v>
      </c>
      <c r="K567" s="20">
        <v>230081.21945442256</v>
      </c>
      <c r="L567" s="20">
        <f t="shared" si="18"/>
        <v>1392188.5089158658</v>
      </c>
    </row>
    <row r="568" spans="1:12">
      <c r="A568" s="23" t="s">
        <v>1599</v>
      </c>
      <c r="B568" s="19" t="s">
        <v>2016</v>
      </c>
      <c r="C568" s="19" t="e">
        <f>VLOOKUP(A568,'Distribution Detail'!$A$2:$F$558,5,FALSE)</f>
        <v>#N/A</v>
      </c>
      <c r="D568" s="25">
        <v>1187319.6200000001</v>
      </c>
      <c r="E568" s="19">
        <v>0.62250198499999998</v>
      </c>
      <c r="F568" s="20">
        <v>899047.06</v>
      </c>
      <c r="G568" s="20">
        <f t="shared" si="19"/>
        <v>1705059.0583022835</v>
      </c>
      <c r="H568" s="20">
        <v>0</v>
      </c>
      <c r="I568" s="20">
        <v>0</v>
      </c>
      <c r="J568" s="20">
        <v>0</v>
      </c>
      <c r="K568" s="20">
        <v>313221.94044413732</v>
      </c>
      <c r="L568" s="20">
        <f t="shared" si="18"/>
        <v>2018280.9987464207</v>
      </c>
    </row>
    <row r="569" spans="1:12">
      <c r="A569" s="23" t="s">
        <v>1600</v>
      </c>
      <c r="B569" s="19" t="s">
        <v>2015</v>
      </c>
      <c r="C569" s="19" t="e">
        <f>VLOOKUP(A569,'Distribution Detail'!$A$2:$F$558,5,FALSE)</f>
        <v>#N/A</v>
      </c>
      <c r="D569" s="25">
        <v>117337.52</v>
      </c>
      <c r="E569" s="19">
        <v>0.40822255099999999</v>
      </c>
      <c r="F569" s="20">
        <v>89588.97</v>
      </c>
      <c r="G569" s="20">
        <f t="shared" si="19"/>
        <v>259092.76931477149</v>
      </c>
      <c r="H569" s="20">
        <v>0</v>
      </c>
      <c r="I569" s="20">
        <v>0</v>
      </c>
      <c r="J569" s="20">
        <v>0</v>
      </c>
      <c r="K569" s="20">
        <v>30150.128321305248</v>
      </c>
      <c r="L569" s="20">
        <f t="shared" si="18"/>
        <v>289242.89763607673</v>
      </c>
    </row>
    <row r="570" spans="1:12">
      <c r="A570" s="23" t="s">
        <v>1602</v>
      </c>
      <c r="B570" s="19" t="s">
        <v>2014</v>
      </c>
      <c r="C570" s="19" t="e">
        <f>VLOOKUP(A570,'Distribution Detail'!$A$2:$F$558,5,FALSE)</f>
        <v>#N/A</v>
      </c>
      <c r="D570" s="25">
        <v>600729.81000000006</v>
      </c>
      <c r="E570" s="19">
        <v>0.41559218199999998</v>
      </c>
      <c r="F570" s="20">
        <v>410093.12</v>
      </c>
      <c r="G570" s="20">
        <f t="shared" si="19"/>
        <v>1164964.9416274708</v>
      </c>
      <c r="H570" s="20">
        <v>0</v>
      </c>
      <c r="I570" s="20">
        <v>0</v>
      </c>
      <c r="J570" s="20">
        <v>0</v>
      </c>
      <c r="K570" s="20">
        <v>207135.89237091268</v>
      </c>
      <c r="L570" s="20">
        <f t="shared" si="18"/>
        <v>1372100.8339983835</v>
      </c>
    </row>
    <row r="571" spans="1:12">
      <c r="A571" s="23" t="s">
        <v>1604</v>
      </c>
      <c r="B571" s="19" t="s">
        <v>2013</v>
      </c>
      <c r="C571" s="19" t="e">
        <f>VLOOKUP(A571,'Distribution Detail'!$A$2:$F$558,5,FALSE)</f>
        <v>#N/A</v>
      </c>
      <c r="D571" s="25">
        <v>351463.45</v>
      </c>
      <c r="E571" s="19">
        <v>0.21693620599999999</v>
      </c>
      <c r="F571" s="20">
        <v>182548.07</v>
      </c>
      <c r="G571" s="20">
        <f t="shared" si="19"/>
        <v>862055.00720514625</v>
      </c>
      <c r="H571" s="20">
        <v>0</v>
      </c>
      <c r="I571" s="20">
        <v>0</v>
      </c>
      <c r="J571" s="20">
        <v>0</v>
      </c>
      <c r="K571" s="20">
        <v>183534.6489255128</v>
      </c>
      <c r="L571" s="20">
        <f t="shared" si="18"/>
        <v>1045589.656130659</v>
      </c>
    </row>
    <row r="572" spans="1:12">
      <c r="A572" s="23" t="s">
        <v>1606</v>
      </c>
      <c r="B572" s="19" t="s">
        <v>2012</v>
      </c>
      <c r="C572" s="19" t="e">
        <f>VLOOKUP(A572,'Distribution Detail'!$A$2:$F$558,5,FALSE)</f>
        <v>#N/A</v>
      </c>
      <c r="D572" s="25">
        <v>599414.07999999996</v>
      </c>
      <c r="E572" s="19">
        <v>0.45799757400000002</v>
      </c>
      <c r="F572" s="20">
        <v>399094.35</v>
      </c>
      <c r="G572" s="20">
        <f t="shared" si="19"/>
        <v>1028750.6998655471</v>
      </c>
      <c r="H572" s="20">
        <v>0</v>
      </c>
      <c r="I572" s="20">
        <v>3548.0243299802464</v>
      </c>
      <c r="J572" s="20">
        <v>0</v>
      </c>
      <c r="K572" s="20">
        <v>214108.95467574152</v>
      </c>
      <c r="L572" s="20">
        <f t="shared" si="18"/>
        <v>1246407.6788712689</v>
      </c>
    </row>
    <row r="573" spans="1:12">
      <c r="A573" s="23" t="s">
        <v>1607</v>
      </c>
      <c r="B573" s="19" t="s">
        <v>2011</v>
      </c>
      <c r="C573" s="19" t="e">
        <f>VLOOKUP(A573,'Distribution Detail'!$A$2:$F$558,5,FALSE)</f>
        <v>#N/A</v>
      </c>
      <c r="D573" s="25">
        <v>196803.6</v>
      </c>
      <c r="E573" s="19">
        <v>0.28920868</v>
      </c>
      <c r="F573" s="20">
        <v>107339.06</v>
      </c>
      <c r="G573" s="20">
        <f t="shared" si="19"/>
        <v>438171.58059148397</v>
      </c>
      <c r="H573" s="20">
        <v>0</v>
      </c>
      <c r="I573" s="20">
        <v>0</v>
      </c>
      <c r="J573" s="20">
        <v>0</v>
      </c>
      <c r="K573" s="20">
        <v>97207.506742029625</v>
      </c>
      <c r="L573" s="20">
        <f t="shared" si="18"/>
        <v>535379.08733351366</v>
      </c>
    </row>
    <row r="574" spans="1:12">
      <c r="A574" s="23" t="s">
        <v>1608</v>
      </c>
      <c r="B574" s="19" t="s">
        <v>2010</v>
      </c>
      <c r="C574" s="19" t="e">
        <f>VLOOKUP(A574,'Distribution Detail'!$A$2:$F$558,5,FALSE)</f>
        <v>#N/A</v>
      </c>
      <c r="D574" s="25">
        <v>276428.52</v>
      </c>
      <c r="E574" s="19">
        <v>0.288948439</v>
      </c>
      <c r="F574" s="20">
        <v>149206.92000000001</v>
      </c>
      <c r="G574" s="20">
        <f t="shared" si="19"/>
        <v>609630.03386731667</v>
      </c>
      <c r="H574" s="20">
        <v>0</v>
      </c>
      <c r="I574" s="20">
        <v>0</v>
      </c>
      <c r="J574" s="20">
        <v>0</v>
      </c>
      <c r="K574" s="20">
        <v>138232.36043835687</v>
      </c>
      <c r="L574" s="20">
        <f t="shared" si="18"/>
        <v>747862.39430567354</v>
      </c>
    </row>
    <row r="575" spans="1:12">
      <c r="A575" s="23" t="s">
        <v>1610</v>
      </c>
      <c r="B575" s="19" t="s">
        <v>2009</v>
      </c>
      <c r="C575" s="19" t="e">
        <f>VLOOKUP(A575,'Distribution Detail'!$A$2:$F$558,5,FALSE)</f>
        <v>#N/A</v>
      </c>
      <c r="D575" s="25">
        <v>1906250.36</v>
      </c>
      <c r="E575" s="19">
        <v>0.55075000799999996</v>
      </c>
      <c r="F575" s="20">
        <v>1317107.93</v>
      </c>
      <c r="G575" s="20">
        <f t="shared" si="19"/>
        <v>2823349.1862736903</v>
      </c>
      <c r="H575" s="20">
        <v>0</v>
      </c>
      <c r="I575" s="20">
        <v>0</v>
      </c>
      <c r="J575" s="20">
        <v>0</v>
      </c>
      <c r="K575" s="20">
        <v>640131.46142863669</v>
      </c>
      <c r="L575" s="20">
        <f t="shared" si="18"/>
        <v>3463480.647702327</v>
      </c>
    </row>
    <row r="576" spans="1:12">
      <c r="A576" s="23" t="s">
        <v>1612</v>
      </c>
      <c r="B576" s="19" t="s">
        <v>2008</v>
      </c>
      <c r="C576" s="19" t="e">
        <f>VLOOKUP(A576,'Distribution Detail'!$A$2:$F$558,5,FALSE)</f>
        <v>#N/A</v>
      </c>
      <c r="D576" s="25">
        <v>454975.09</v>
      </c>
      <c r="E576" s="19">
        <v>0.62104952700000005</v>
      </c>
      <c r="F576" s="20">
        <v>453109.14</v>
      </c>
      <c r="G576" s="20">
        <f t="shared" si="19"/>
        <v>861339.43104306876</v>
      </c>
      <c r="H576" s="20">
        <v>0</v>
      </c>
      <c r="I576" s="20">
        <v>2027.4440264856912</v>
      </c>
      <c r="J576" s="20">
        <v>0</v>
      </c>
      <c r="K576" s="20">
        <v>0</v>
      </c>
      <c r="L576" s="20">
        <f t="shared" si="18"/>
        <v>863366.87506955443</v>
      </c>
    </row>
    <row r="577" spans="1:12">
      <c r="A577" s="23" t="s">
        <v>1614</v>
      </c>
      <c r="B577" s="19" t="s">
        <v>2007</v>
      </c>
      <c r="C577" s="19" t="e">
        <f>VLOOKUP(A577,'Distribution Detail'!$A$2:$F$558,5,FALSE)</f>
        <v>#N/A</v>
      </c>
      <c r="D577" s="25">
        <v>1298108.3799999999</v>
      </c>
      <c r="E577" s="19">
        <v>0.36721170600000003</v>
      </c>
      <c r="F577" s="20">
        <v>1298108.3799999999</v>
      </c>
      <c r="G577" s="20">
        <f t="shared" si="19"/>
        <v>4173420.8177963314</v>
      </c>
      <c r="H577" s="20">
        <v>0</v>
      </c>
      <c r="I577" s="20">
        <v>0</v>
      </c>
      <c r="J577" s="20">
        <v>0</v>
      </c>
      <c r="K577" s="20">
        <v>0</v>
      </c>
      <c r="L577" s="20">
        <f t="shared" si="18"/>
        <v>4173420.8177963314</v>
      </c>
    </row>
    <row r="578" spans="1:12">
      <c r="A578" s="23" t="s">
        <v>1616</v>
      </c>
      <c r="B578" s="19" t="s">
        <v>2006</v>
      </c>
      <c r="C578" s="19" t="e">
        <f>VLOOKUP(A578,'Distribution Detail'!$A$2:$F$558,5,FALSE)</f>
        <v>#N/A</v>
      </c>
      <c r="D578" s="25">
        <v>787869.85</v>
      </c>
      <c r="E578" s="19">
        <v>0.363525969</v>
      </c>
      <c r="F578" s="20">
        <v>787869.85</v>
      </c>
      <c r="G578" s="20">
        <f t="shared" si="19"/>
        <v>2558684.7595062</v>
      </c>
      <c r="H578" s="20">
        <v>0</v>
      </c>
      <c r="I578" s="20">
        <v>0</v>
      </c>
      <c r="J578" s="20">
        <v>0</v>
      </c>
      <c r="K578" s="20">
        <v>0</v>
      </c>
      <c r="L578" s="20">
        <f t="shared" ref="L578:L609" si="20">SUM(G578:K578)</f>
        <v>2558684.7595062</v>
      </c>
    </row>
    <row r="579" spans="1:12">
      <c r="A579" s="23" t="s">
        <v>1618</v>
      </c>
      <c r="B579" s="19" t="s">
        <v>2005</v>
      </c>
      <c r="C579" s="19" t="e">
        <f>VLOOKUP(A579,'Distribution Detail'!$A$2:$F$558,5,FALSE)</f>
        <v>#N/A</v>
      </c>
      <c r="D579" s="25">
        <v>1475170.65</v>
      </c>
      <c r="E579" s="19">
        <v>0.33536537399999999</v>
      </c>
      <c r="F579" s="20">
        <v>1438440.31</v>
      </c>
      <c r="G579" s="20">
        <f t="shared" ref="G579:G609" si="21">(F579/(IF(E579&lt;0.25,0.25,E579))/0.920346)/0.920346</f>
        <v>5063739.6254990501</v>
      </c>
      <c r="H579" s="20">
        <v>0</v>
      </c>
      <c r="I579" s="20">
        <v>0</v>
      </c>
      <c r="J579" s="20">
        <v>0</v>
      </c>
      <c r="K579" s="20">
        <v>39909.273251581464</v>
      </c>
      <c r="L579" s="20">
        <f t="shared" si="20"/>
        <v>5103648.8987506311</v>
      </c>
    </row>
    <row r="580" spans="1:12">
      <c r="A580" s="23" t="s">
        <v>1620</v>
      </c>
      <c r="B580" s="19" t="s">
        <v>2004</v>
      </c>
      <c r="C580" s="19" t="e">
        <f>VLOOKUP(A580,'Distribution Detail'!$A$2:$F$558,5,FALSE)</f>
        <v>#N/A</v>
      </c>
      <c r="D580" s="25">
        <v>2627076.31</v>
      </c>
      <c r="E580" s="19">
        <v>0.403815694</v>
      </c>
      <c r="F580" s="20">
        <v>2627076.31</v>
      </c>
      <c r="G580" s="20">
        <f t="shared" si="21"/>
        <v>7680460.0835704673</v>
      </c>
      <c r="H580" s="20">
        <v>0</v>
      </c>
      <c r="I580" s="20">
        <v>0</v>
      </c>
      <c r="J580" s="20">
        <v>0</v>
      </c>
      <c r="K580" s="20">
        <v>0</v>
      </c>
      <c r="L580" s="20">
        <f t="shared" si="20"/>
        <v>7680460.0835704673</v>
      </c>
    </row>
    <row r="581" spans="1:12">
      <c r="A581" s="23" t="s">
        <v>1621</v>
      </c>
      <c r="B581" s="19" t="s">
        <v>2003</v>
      </c>
      <c r="C581" s="19" t="e">
        <f>VLOOKUP(A581,'Distribution Detail'!$A$2:$F$558,5,FALSE)</f>
        <v>#N/A</v>
      </c>
      <c r="D581" s="25">
        <v>280789.23</v>
      </c>
      <c r="E581" s="19">
        <v>0.34020290800000003</v>
      </c>
      <c r="F581" s="20">
        <v>205867.57</v>
      </c>
      <c r="G581" s="20">
        <f t="shared" si="21"/>
        <v>714410.21952139447</v>
      </c>
      <c r="H581" s="20">
        <v>0</v>
      </c>
      <c r="I581" s="20">
        <v>0</v>
      </c>
      <c r="J581" s="20">
        <v>0</v>
      </c>
      <c r="K581" s="20">
        <v>81405.971232558193</v>
      </c>
      <c r="L581" s="20">
        <f t="shared" si="20"/>
        <v>795816.1907539526</v>
      </c>
    </row>
    <row r="582" spans="1:12">
      <c r="A582" s="23" t="s">
        <v>1623</v>
      </c>
      <c r="B582" s="19" t="s">
        <v>2002</v>
      </c>
      <c r="C582" s="19" t="e">
        <f>VLOOKUP(A582,'Distribution Detail'!$A$2:$F$558,5,FALSE)</f>
        <v>#N/A</v>
      </c>
      <c r="D582" s="25">
        <v>507020.53</v>
      </c>
      <c r="E582" s="19">
        <v>0.30355960799999998</v>
      </c>
      <c r="F582" s="20">
        <v>285827.15999999997</v>
      </c>
      <c r="G582" s="20">
        <f t="shared" si="21"/>
        <v>1111622.3053267831</v>
      </c>
      <c r="H582" s="20">
        <v>0</v>
      </c>
      <c r="I582" s="20">
        <v>0</v>
      </c>
      <c r="J582" s="20">
        <v>0</v>
      </c>
      <c r="K582" s="20">
        <v>240337.1884052302</v>
      </c>
      <c r="L582" s="20">
        <f t="shared" si="20"/>
        <v>1351959.4937320133</v>
      </c>
    </row>
    <row r="583" spans="1:12">
      <c r="A583" s="23" t="s">
        <v>1625</v>
      </c>
      <c r="B583" s="19" t="s">
        <v>2001</v>
      </c>
      <c r="C583" s="19" t="e">
        <f>VLOOKUP(A583,'Distribution Detail'!$A$2:$F$558,5,FALSE)</f>
        <v>#N/A</v>
      </c>
      <c r="D583" s="25">
        <v>595237.04</v>
      </c>
      <c r="E583" s="19">
        <v>0.60778660399999995</v>
      </c>
      <c r="F583" s="20">
        <v>420262.46</v>
      </c>
      <c r="G583" s="20">
        <f t="shared" si="21"/>
        <v>816332.74299532617</v>
      </c>
      <c r="H583" s="20">
        <v>0</v>
      </c>
      <c r="I583" s="20">
        <v>0</v>
      </c>
      <c r="J583" s="20">
        <v>0</v>
      </c>
      <c r="K583" s="20">
        <v>190118.25987183079</v>
      </c>
      <c r="L583" s="20">
        <f t="shared" si="20"/>
        <v>1006451.002867157</v>
      </c>
    </row>
    <row r="584" spans="1:12">
      <c r="A584" s="23" t="s">
        <v>1627</v>
      </c>
      <c r="B584" s="19" t="s">
        <v>2000</v>
      </c>
      <c r="C584" s="19" t="e">
        <f>VLOOKUP(A584,'Distribution Detail'!$A$2:$F$558,5,FALSE)</f>
        <v>#N/A</v>
      </c>
      <c r="D584" s="25">
        <v>1810069.94</v>
      </c>
      <c r="E584" s="19">
        <v>0.51543677300000001</v>
      </c>
      <c r="F584" s="20">
        <v>1276324.01</v>
      </c>
      <c r="G584" s="20">
        <f t="shared" si="21"/>
        <v>2923366.60549339</v>
      </c>
      <c r="H584" s="20">
        <v>0</v>
      </c>
      <c r="I584" s="20">
        <v>0</v>
      </c>
      <c r="J584" s="20">
        <v>0</v>
      </c>
      <c r="K584" s="20">
        <v>579940.51150328247</v>
      </c>
      <c r="L584" s="20">
        <f t="shared" si="20"/>
        <v>3503307.1169966725</v>
      </c>
    </row>
    <row r="585" spans="1:12">
      <c r="A585" s="23" t="s">
        <v>1629</v>
      </c>
      <c r="B585" s="19" t="s">
        <v>1999</v>
      </c>
      <c r="C585" s="19" t="e">
        <f>VLOOKUP(A585,'Distribution Detail'!$A$2:$F$558,5,FALSE)</f>
        <v>#N/A</v>
      </c>
      <c r="D585" s="25">
        <v>203277.93</v>
      </c>
      <c r="E585" s="19">
        <v>0.212598968</v>
      </c>
      <c r="F585" s="20">
        <v>104687.78</v>
      </c>
      <c r="G585" s="20">
        <f t="shared" si="21"/>
        <v>494371.83828999539</v>
      </c>
      <c r="H585" s="20">
        <v>0</v>
      </c>
      <c r="I585" s="20">
        <v>0</v>
      </c>
      <c r="J585" s="20">
        <v>0</v>
      </c>
      <c r="K585" s="20">
        <v>107122.91898916276</v>
      </c>
      <c r="L585" s="20">
        <f t="shared" si="20"/>
        <v>601494.7572791581</v>
      </c>
    </row>
    <row r="586" spans="1:12">
      <c r="A586" s="23" t="s">
        <v>1631</v>
      </c>
      <c r="B586" s="19" t="s">
        <v>1998</v>
      </c>
      <c r="C586" s="19" t="e">
        <f>VLOOKUP(A586,'Distribution Detail'!$A$2:$F$558,5,FALSE)</f>
        <v>#N/A</v>
      </c>
      <c r="D586" s="25">
        <v>244125.42</v>
      </c>
      <c r="E586" s="19">
        <v>0.42130405700000001</v>
      </c>
      <c r="F586" s="20">
        <v>223261.49</v>
      </c>
      <c r="G586" s="20">
        <f t="shared" si="21"/>
        <v>625627.62827180233</v>
      </c>
      <c r="H586" s="20">
        <v>0</v>
      </c>
      <c r="I586" s="20">
        <v>0</v>
      </c>
      <c r="J586" s="20">
        <v>0</v>
      </c>
      <c r="K586" s="20">
        <v>22669.659019542651</v>
      </c>
      <c r="L586" s="20">
        <f t="shared" si="20"/>
        <v>648297.28729134495</v>
      </c>
    </row>
    <row r="587" spans="1:12">
      <c r="A587" s="23" t="s">
        <v>1633</v>
      </c>
      <c r="B587" s="19" t="s">
        <v>1997</v>
      </c>
      <c r="C587" s="19" t="e">
        <f>VLOOKUP(A587,'Distribution Detail'!$A$2:$F$558,5,FALSE)</f>
        <v>#N/A</v>
      </c>
      <c r="D587" s="25">
        <v>232962.59</v>
      </c>
      <c r="E587" s="19">
        <v>0.348357466</v>
      </c>
      <c r="F587" s="20">
        <v>157398.94</v>
      </c>
      <c r="G587" s="20">
        <f t="shared" si="21"/>
        <v>533426.29749092285</v>
      </c>
      <c r="H587" s="20">
        <v>0</v>
      </c>
      <c r="I587" s="20">
        <v>0</v>
      </c>
      <c r="J587" s="20">
        <v>0</v>
      </c>
      <c r="K587" s="20">
        <v>82103.524109411024</v>
      </c>
      <c r="L587" s="20">
        <f t="shared" si="20"/>
        <v>615529.8216003339</v>
      </c>
    </row>
    <row r="588" spans="1:12">
      <c r="A588" s="23" t="s">
        <v>1635</v>
      </c>
      <c r="B588" s="19" t="s">
        <v>1996</v>
      </c>
      <c r="C588" s="19" t="e">
        <f>VLOOKUP(A588,'Distribution Detail'!$A$2:$F$558,5,FALSE)</f>
        <v>#N/A</v>
      </c>
      <c r="D588" s="25">
        <v>406544.41</v>
      </c>
      <c r="E588" s="19">
        <v>0.45511523399999998</v>
      </c>
      <c r="F588" s="20">
        <v>297437.03000000003</v>
      </c>
      <c r="G588" s="20">
        <f t="shared" si="21"/>
        <v>771563.02088641876</v>
      </c>
      <c r="H588" s="20">
        <v>0</v>
      </c>
      <c r="I588" s="20">
        <v>0</v>
      </c>
      <c r="J588" s="20">
        <v>0</v>
      </c>
      <c r="K588" s="20">
        <v>118089.03390681332</v>
      </c>
      <c r="L588" s="20">
        <f t="shared" si="20"/>
        <v>889652.05479323212</v>
      </c>
    </row>
    <row r="589" spans="1:12">
      <c r="A589" s="23" t="s">
        <v>1636</v>
      </c>
      <c r="B589" s="19" t="s">
        <v>1995</v>
      </c>
      <c r="C589" s="19" t="e">
        <f>VLOOKUP(A589,'Distribution Detail'!$A$2:$F$558,5,FALSE)</f>
        <v>#N/A</v>
      </c>
      <c r="D589" s="25">
        <v>591955.77</v>
      </c>
      <c r="E589" s="19">
        <v>0.494657022</v>
      </c>
      <c r="F589" s="20">
        <v>439819.44</v>
      </c>
      <c r="G589" s="20">
        <f t="shared" si="21"/>
        <v>1049706.7367868812</v>
      </c>
      <c r="H589" s="20">
        <v>0</v>
      </c>
      <c r="I589" s="20">
        <v>0</v>
      </c>
      <c r="J589" s="20">
        <v>0</v>
      </c>
      <c r="K589" s="20">
        <v>165303.40763147772</v>
      </c>
      <c r="L589" s="20">
        <f t="shared" si="20"/>
        <v>1215010.144418359</v>
      </c>
    </row>
    <row r="590" spans="1:12">
      <c r="A590" s="23" t="s">
        <v>1638</v>
      </c>
      <c r="B590" s="19" t="s">
        <v>1994</v>
      </c>
      <c r="C590" s="19" t="e">
        <f>VLOOKUP(A590,'Distribution Detail'!$A$2:$F$558,5,FALSE)</f>
        <v>#N/A</v>
      </c>
      <c r="D590" s="25">
        <v>652899.89</v>
      </c>
      <c r="E590" s="19">
        <v>0.50105140400000003</v>
      </c>
      <c r="F590" s="20">
        <v>464101.34</v>
      </c>
      <c r="G590" s="20">
        <f t="shared" si="21"/>
        <v>1093523.903265923</v>
      </c>
      <c r="H590" s="20">
        <v>0</v>
      </c>
      <c r="I590" s="20">
        <v>0</v>
      </c>
      <c r="J590" s="20">
        <v>0</v>
      </c>
      <c r="K590" s="20">
        <v>205138.66524111584</v>
      </c>
      <c r="L590" s="20">
        <f t="shared" si="20"/>
        <v>1298662.568507039</v>
      </c>
    </row>
    <row r="591" spans="1:12">
      <c r="A591" s="23" t="s">
        <v>1639</v>
      </c>
      <c r="B591" s="19" t="s">
        <v>1993</v>
      </c>
      <c r="C591" s="19" t="e">
        <f>VLOOKUP(A591,'Distribution Detail'!$A$2:$F$558,5,FALSE)</f>
        <v>#N/A</v>
      </c>
      <c r="D591" s="25">
        <v>624879.79</v>
      </c>
      <c r="E591" s="19">
        <v>0.28542641400000002</v>
      </c>
      <c r="F591" s="20">
        <v>359028.5</v>
      </c>
      <c r="G591" s="20">
        <f t="shared" si="21"/>
        <v>1485020.6922443404</v>
      </c>
      <c r="H591" s="20">
        <v>0</v>
      </c>
      <c r="I591" s="20">
        <v>0</v>
      </c>
      <c r="J591" s="20">
        <v>506.86372299113594</v>
      </c>
      <c r="K591" s="20">
        <v>288353.29321798543</v>
      </c>
      <c r="L591" s="20">
        <f t="shared" si="20"/>
        <v>1773880.8491853171</v>
      </c>
    </row>
    <row r="592" spans="1:12">
      <c r="A592" s="23" t="s">
        <v>1640</v>
      </c>
      <c r="B592" s="19" t="s">
        <v>1992</v>
      </c>
      <c r="C592" s="19" t="e">
        <f>VLOOKUP(A592,'Distribution Detail'!$A$2:$F$558,5,FALSE)</f>
        <v>#N/A</v>
      </c>
      <c r="D592" s="25">
        <v>618185.62</v>
      </c>
      <c r="E592" s="19">
        <v>0.40838086299999998</v>
      </c>
      <c r="F592" s="20">
        <v>425712.64000000001</v>
      </c>
      <c r="G592" s="20">
        <f t="shared" si="21"/>
        <v>1230690.6591691126</v>
      </c>
      <c r="H592" s="20">
        <v>0</v>
      </c>
      <c r="I592" s="20">
        <v>6082.3320794570745</v>
      </c>
      <c r="J592" s="20">
        <v>0</v>
      </c>
      <c r="K592" s="20">
        <v>203048.77730766474</v>
      </c>
      <c r="L592" s="20">
        <f t="shared" si="20"/>
        <v>1439821.7685562344</v>
      </c>
    </row>
    <row r="593" spans="1:12">
      <c r="A593" s="23" t="s">
        <v>1642</v>
      </c>
      <c r="B593" s="19" t="s">
        <v>1991</v>
      </c>
      <c r="C593" s="19" t="e">
        <f>VLOOKUP(A593,'Distribution Detail'!$A$2:$F$558,5,FALSE)</f>
        <v>#N/A</v>
      </c>
      <c r="D593" s="25">
        <v>155250.88</v>
      </c>
      <c r="E593" s="19">
        <v>0.47357987800000001</v>
      </c>
      <c r="F593" s="20">
        <v>105078.67</v>
      </c>
      <c r="G593" s="20">
        <f t="shared" si="21"/>
        <v>261950.40101349211</v>
      </c>
      <c r="H593" s="20">
        <v>0</v>
      </c>
      <c r="I593" s="20">
        <v>0</v>
      </c>
      <c r="J593" s="20">
        <v>0</v>
      </c>
      <c r="K593" s="20">
        <v>54514.508673911769</v>
      </c>
      <c r="L593" s="20">
        <f t="shared" si="20"/>
        <v>316464.90968740388</v>
      </c>
    </row>
    <row r="594" spans="1:12">
      <c r="A594" s="23" t="s">
        <v>1644</v>
      </c>
      <c r="B594" s="19" t="s">
        <v>1990</v>
      </c>
      <c r="C594" s="19" t="e">
        <f>VLOOKUP(A594,'Distribution Detail'!$A$2:$F$558,5,FALSE)</f>
        <v>#N/A</v>
      </c>
      <c r="D594" s="25">
        <v>279649.03999999998</v>
      </c>
      <c r="E594" s="19">
        <v>0.47306947300000002</v>
      </c>
      <c r="F594" s="20">
        <v>185884.22</v>
      </c>
      <c r="G594" s="20">
        <f t="shared" si="21"/>
        <v>463890.35296978877</v>
      </c>
      <c r="H594" s="20">
        <v>0</v>
      </c>
      <c r="I594" s="20">
        <v>0</v>
      </c>
      <c r="J594" s="20">
        <v>0</v>
      </c>
      <c r="K594" s="20">
        <v>101879.96688202047</v>
      </c>
      <c r="L594" s="20">
        <f t="shared" si="20"/>
        <v>565770.31985180918</v>
      </c>
    </row>
    <row r="595" spans="1:12">
      <c r="A595" s="23" t="s">
        <v>1646</v>
      </c>
      <c r="B595" s="19" t="s">
        <v>1989</v>
      </c>
      <c r="C595" s="19" t="e">
        <f>VLOOKUP(A595,'Distribution Detail'!$A$2:$F$558,5,FALSE)</f>
        <v>#N/A</v>
      </c>
      <c r="D595" s="25">
        <v>190865.9</v>
      </c>
      <c r="E595" s="19">
        <v>0.51726876700000002</v>
      </c>
      <c r="F595" s="20">
        <v>133970.74</v>
      </c>
      <c r="G595" s="20">
        <f t="shared" si="21"/>
        <v>305767.58402141236</v>
      </c>
      <c r="H595" s="20">
        <v>0</v>
      </c>
      <c r="I595" s="20">
        <v>0</v>
      </c>
      <c r="J595" s="20">
        <v>0</v>
      </c>
      <c r="K595" s="20">
        <v>61819.315779065706</v>
      </c>
      <c r="L595" s="20">
        <f t="shared" si="20"/>
        <v>367586.89980047807</v>
      </c>
    </row>
    <row r="596" spans="1:12">
      <c r="A596" s="23" t="s">
        <v>1648</v>
      </c>
      <c r="B596" s="19" t="s">
        <v>1988</v>
      </c>
      <c r="C596" s="19" t="e">
        <f>VLOOKUP(A596,'Distribution Detail'!$A$2:$F$558,5,FALSE)</f>
        <v>#N/A</v>
      </c>
      <c r="D596" s="25">
        <v>302743</v>
      </c>
      <c r="E596" s="19">
        <v>0.44742837200000002</v>
      </c>
      <c r="F596" s="20">
        <v>199635.28</v>
      </c>
      <c r="G596" s="20">
        <f t="shared" si="21"/>
        <v>526758.45498502441</v>
      </c>
      <c r="H596" s="20">
        <v>0</v>
      </c>
      <c r="I596" s="20">
        <v>0</v>
      </c>
      <c r="J596" s="20">
        <v>0</v>
      </c>
      <c r="K596" s="20">
        <v>112031.47511913997</v>
      </c>
      <c r="L596" s="20">
        <f t="shared" si="20"/>
        <v>638789.93010416441</v>
      </c>
    </row>
    <row r="597" spans="1:12">
      <c r="A597" s="23" t="s">
        <v>1650</v>
      </c>
      <c r="B597" s="19" t="s">
        <v>1987</v>
      </c>
      <c r="C597" s="19" t="e">
        <f>VLOOKUP(A597,'Distribution Detail'!$A$2:$F$558,5,FALSE)</f>
        <v>#N/A</v>
      </c>
      <c r="D597" s="25">
        <v>109231.2</v>
      </c>
      <c r="E597" s="19">
        <v>0.48976808999999999</v>
      </c>
      <c r="F597" s="20">
        <v>74686.3</v>
      </c>
      <c r="G597" s="20">
        <f t="shared" si="21"/>
        <v>180031.37586282211</v>
      </c>
      <c r="H597" s="20">
        <v>0</v>
      </c>
      <c r="I597" s="20">
        <v>0</v>
      </c>
      <c r="J597" s="20">
        <v>0</v>
      </c>
      <c r="K597" s="20">
        <v>37534.688041236666</v>
      </c>
      <c r="L597" s="20">
        <f t="shared" si="20"/>
        <v>217566.06390405877</v>
      </c>
    </row>
    <row r="598" spans="1:12">
      <c r="A598" s="23" t="s">
        <v>1652</v>
      </c>
      <c r="B598" s="19" t="s">
        <v>1986</v>
      </c>
      <c r="C598" s="19" t="e">
        <f>VLOOKUP(A598,'Distribution Detail'!$A$2:$F$558,5,FALSE)</f>
        <v>#N/A</v>
      </c>
      <c r="D598" s="25">
        <v>538503.22</v>
      </c>
      <c r="E598" s="19">
        <v>0.308975312</v>
      </c>
      <c r="F598" s="20">
        <v>326824.89</v>
      </c>
      <c r="G598" s="20">
        <f t="shared" si="21"/>
        <v>1248789.0615121182</v>
      </c>
      <c r="H598" s="20">
        <v>0</v>
      </c>
      <c r="I598" s="20">
        <v>0</v>
      </c>
      <c r="J598" s="20">
        <v>0</v>
      </c>
      <c r="K598" s="20">
        <v>229998.64181514343</v>
      </c>
      <c r="L598" s="20">
        <f t="shared" si="20"/>
        <v>1478787.7033272616</v>
      </c>
    </row>
    <row r="599" spans="1:12">
      <c r="A599" s="23" t="s">
        <v>1654</v>
      </c>
      <c r="B599" s="19" t="s">
        <v>1985</v>
      </c>
      <c r="C599" s="19" t="e">
        <f>VLOOKUP(A599,'Distribution Detail'!$A$2:$F$558,5,FALSE)</f>
        <v>#N/A</v>
      </c>
      <c r="D599" s="25">
        <v>602409.43000000005</v>
      </c>
      <c r="E599" s="19">
        <v>0.47571006199999999</v>
      </c>
      <c r="F599" s="20">
        <v>413377.36</v>
      </c>
      <c r="G599" s="20">
        <f t="shared" si="21"/>
        <v>1025893.0592415872</v>
      </c>
      <c r="H599" s="20">
        <v>0</v>
      </c>
      <c r="I599" s="20">
        <v>0</v>
      </c>
      <c r="J599" s="20">
        <v>0</v>
      </c>
      <c r="K599" s="20">
        <v>205392.39590327986</v>
      </c>
      <c r="L599" s="20">
        <f t="shared" si="20"/>
        <v>1231285.4551448671</v>
      </c>
    </row>
    <row r="600" spans="1:12">
      <c r="A600" s="23" t="s">
        <v>1656</v>
      </c>
      <c r="B600" s="19" t="s">
        <v>1984</v>
      </c>
      <c r="C600" s="19" t="e">
        <f>VLOOKUP(A600,'Distribution Detail'!$A$2:$F$558,5,FALSE)</f>
        <v>#N/A</v>
      </c>
      <c r="D600" s="25">
        <v>392276.5</v>
      </c>
      <c r="E600" s="19">
        <v>0.46653866700000002</v>
      </c>
      <c r="F600" s="20">
        <v>373895.85</v>
      </c>
      <c r="G600" s="20">
        <f t="shared" si="21"/>
        <v>946151.63105797267</v>
      </c>
      <c r="H600" s="20">
        <v>0</v>
      </c>
      <c r="I600" s="20">
        <v>0</v>
      </c>
      <c r="J600" s="20">
        <v>0</v>
      </c>
      <c r="K600" s="20">
        <v>19971.456387054437</v>
      </c>
      <c r="L600" s="20">
        <f t="shared" si="20"/>
        <v>966123.08744502708</v>
      </c>
    </row>
    <row r="601" spans="1:12">
      <c r="A601" s="23" t="s">
        <v>1657</v>
      </c>
      <c r="B601" s="19" t="s">
        <v>1983</v>
      </c>
      <c r="C601" s="19" t="e">
        <f>VLOOKUP(A601,'Distribution Detail'!$A$2:$F$558,5,FALSE)</f>
        <v>#N/A</v>
      </c>
      <c r="D601" s="25">
        <v>165911.28</v>
      </c>
      <c r="E601" s="19">
        <v>0.49375080300000002</v>
      </c>
      <c r="F601" s="20">
        <v>122302.36</v>
      </c>
      <c r="G601" s="20">
        <f t="shared" si="21"/>
        <v>292431.91230433475</v>
      </c>
      <c r="H601" s="20">
        <v>0</v>
      </c>
      <c r="I601" s="20">
        <v>0</v>
      </c>
      <c r="J601" s="20">
        <v>0</v>
      </c>
      <c r="K601" s="20">
        <v>47383.179804117142</v>
      </c>
      <c r="L601" s="20">
        <f t="shared" si="20"/>
        <v>339815.09210845188</v>
      </c>
    </row>
    <row r="602" spans="1:12">
      <c r="A602" s="23" t="s">
        <v>1659</v>
      </c>
      <c r="B602" s="19" t="s">
        <v>1982</v>
      </c>
      <c r="C602" s="19" t="e">
        <f>VLOOKUP(A602,'Distribution Detail'!$A$2:$F$558,5,FALSE)</f>
        <v>#N/A</v>
      </c>
      <c r="D602" s="25">
        <v>181803.73</v>
      </c>
      <c r="E602" s="19">
        <v>0.465070647</v>
      </c>
      <c r="F602" s="20">
        <v>181803.73</v>
      </c>
      <c r="G602" s="20">
        <f t="shared" si="21"/>
        <v>461510.51581970713</v>
      </c>
      <c r="H602" s="20">
        <v>0</v>
      </c>
      <c r="I602" s="20">
        <v>0</v>
      </c>
      <c r="J602" s="20">
        <v>0</v>
      </c>
      <c r="K602" s="20">
        <v>0</v>
      </c>
      <c r="L602" s="20">
        <f t="shared" si="20"/>
        <v>461510.51581970713</v>
      </c>
    </row>
    <row r="603" spans="1:12">
      <c r="A603" s="23" t="s">
        <v>1660</v>
      </c>
      <c r="B603" s="19" t="s">
        <v>1981</v>
      </c>
      <c r="C603" s="19" t="e">
        <f>VLOOKUP(A603,'Distribution Detail'!$A$2:$F$558,5,FALSE)</f>
        <v>#N/A</v>
      </c>
      <c r="D603" s="25">
        <v>652220.23</v>
      </c>
      <c r="E603" s="19">
        <v>0.37029941399999999</v>
      </c>
      <c r="F603" s="20">
        <v>428049.67</v>
      </c>
      <c r="G603" s="20">
        <f t="shared" si="21"/>
        <v>1364705.3168019364</v>
      </c>
      <c r="H603" s="20">
        <v>0</v>
      </c>
      <c r="I603" s="20">
        <v>0</v>
      </c>
      <c r="J603" s="20">
        <v>0</v>
      </c>
      <c r="K603" s="20">
        <v>243572.04790372317</v>
      </c>
      <c r="L603" s="20">
        <f t="shared" si="20"/>
        <v>1608277.3647056594</v>
      </c>
    </row>
    <row r="604" spans="1:12">
      <c r="A604" s="23" t="s">
        <v>1662</v>
      </c>
      <c r="B604" s="19" t="s">
        <v>1980</v>
      </c>
      <c r="C604" s="19" t="e">
        <f>VLOOKUP(A604,'Distribution Detail'!$A$2:$F$558,5,FALSE)</f>
        <v>#N/A</v>
      </c>
      <c r="D604" s="25">
        <v>338200.82</v>
      </c>
      <c r="E604" s="19">
        <v>0.39273024499999998</v>
      </c>
      <c r="F604" s="20">
        <v>210719.46</v>
      </c>
      <c r="G604" s="20">
        <f t="shared" si="21"/>
        <v>633443.72441420041</v>
      </c>
      <c r="H604" s="20">
        <v>0</v>
      </c>
      <c r="I604" s="20">
        <v>0</v>
      </c>
      <c r="J604" s="20">
        <v>0</v>
      </c>
      <c r="K604" s="20">
        <v>138514.60211702989</v>
      </c>
      <c r="L604" s="20">
        <f t="shared" si="20"/>
        <v>771958.32653123024</v>
      </c>
    </row>
    <row r="605" spans="1:12">
      <c r="A605" s="23" t="s">
        <v>1664</v>
      </c>
      <c r="B605" s="19" t="s">
        <v>1979</v>
      </c>
      <c r="C605" s="19">
        <f>VLOOKUP(A605,'Distribution Detail'!$A$2:$F$558,5,FALSE)</f>
        <v>1</v>
      </c>
      <c r="D605" s="25">
        <v>2366480.06</v>
      </c>
      <c r="E605" s="19">
        <v>0.68703366399999999</v>
      </c>
      <c r="F605" s="20">
        <v>1769414.38</v>
      </c>
      <c r="G605" s="20">
        <f t="shared" si="21"/>
        <v>3040529.8863783968</v>
      </c>
      <c r="H605" s="20">
        <v>0</v>
      </c>
      <c r="I605" s="20">
        <v>0</v>
      </c>
      <c r="J605" s="20">
        <v>0</v>
      </c>
      <c r="K605" s="20">
        <v>648740.45196045842</v>
      </c>
      <c r="L605" s="20">
        <f t="shared" si="20"/>
        <v>3689270.3383388552</v>
      </c>
    </row>
    <row r="606" spans="1:12">
      <c r="A606" s="23" t="s">
        <v>1665</v>
      </c>
      <c r="B606" s="19" t="s">
        <v>1978</v>
      </c>
      <c r="C606" s="19" t="e">
        <f>VLOOKUP(A606,'Distribution Detail'!$A$2:$F$558,5,FALSE)</f>
        <v>#N/A</v>
      </c>
      <c r="D606" s="25">
        <v>1843931.79</v>
      </c>
      <c r="E606" s="19">
        <v>0.34555387399999998</v>
      </c>
      <c r="F606" s="20">
        <v>1087349.1599999999</v>
      </c>
      <c r="G606" s="20">
        <f t="shared" si="21"/>
        <v>3714933.1139156637</v>
      </c>
      <c r="H606" s="20">
        <v>0</v>
      </c>
      <c r="I606" s="20">
        <v>0</v>
      </c>
      <c r="J606" s="20">
        <v>0</v>
      </c>
      <c r="K606" s="20">
        <v>822063.25664478354</v>
      </c>
      <c r="L606" s="20">
        <f t="shared" si="20"/>
        <v>4536996.3705604468</v>
      </c>
    </row>
    <row r="607" spans="1:12">
      <c r="A607" s="23" t="s">
        <v>1667</v>
      </c>
      <c r="B607" s="19" t="s">
        <v>1977</v>
      </c>
      <c r="C607" s="19" t="e">
        <f>VLOOKUP(A607,'Distribution Detail'!$A$2:$F$558,5,FALSE)</f>
        <v>#N/A</v>
      </c>
      <c r="D607" s="25">
        <v>623992.46</v>
      </c>
      <c r="E607" s="19">
        <v>0.29092827999999998</v>
      </c>
      <c r="F607" s="20">
        <v>334025.40000000002</v>
      </c>
      <c r="G607" s="20">
        <f t="shared" si="21"/>
        <v>1355474.3231284234</v>
      </c>
      <c r="H607" s="20">
        <v>0</v>
      </c>
      <c r="I607" s="20">
        <v>0</v>
      </c>
      <c r="J607" s="20">
        <v>0</v>
      </c>
      <c r="K607" s="20">
        <v>315063.09583569656</v>
      </c>
      <c r="L607" s="20">
        <f t="shared" si="20"/>
        <v>1670537.4189641201</v>
      </c>
    </row>
    <row r="608" spans="1:12">
      <c r="A608" s="23" t="s">
        <v>1669</v>
      </c>
      <c r="B608" s="19" t="s">
        <v>1976</v>
      </c>
      <c r="C608" s="19" t="e">
        <f>VLOOKUP(A608,'Distribution Detail'!$A$2:$F$558,5,FALSE)</f>
        <v>#N/A</v>
      </c>
      <c r="D608" s="25">
        <v>408522.6</v>
      </c>
      <c r="E608" s="19">
        <v>0.46751499600000002</v>
      </c>
      <c r="F608" s="20">
        <v>290452.37</v>
      </c>
      <c r="G608" s="20">
        <f t="shared" si="21"/>
        <v>733461.1590551011</v>
      </c>
      <c r="H608" s="20">
        <v>0</v>
      </c>
      <c r="I608" s="20">
        <v>0</v>
      </c>
      <c r="J608" s="20">
        <v>0</v>
      </c>
      <c r="K608" s="20">
        <v>128288.95871769964</v>
      </c>
      <c r="L608" s="20">
        <f t="shared" si="20"/>
        <v>861750.11777280073</v>
      </c>
    </row>
    <row r="609" spans="1:12">
      <c r="A609" s="23" t="s">
        <v>1671</v>
      </c>
      <c r="B609" s="19" t="s">
        <v>1975</v>
      </c>
      <c r="C609" s="19">
        <f>VLOOKUP(A609,'Distribution Detail'!$A$2:$F$558,5,FALSE)</f>
        <v>1</v>
      </c>
      <c r="D609" s="25">
        <v>1092473.8899999999</v>
      </c>
      <c r="E609" s="19">
        <v>0.587535264</v>
      </c>
      <c r="F609" s="20">
        <v>1092473.8899999999</v>
      </c>
      <c r="G609" s="20">
        <f t="shared" si="21"/>
        <v>2195203.9209500663</v>
      </c>
      <c r="H609" s="20">
        <v>0</v>
      </c>
      <c r="I609" s="20">
        <v>0</v>
      </c>
      <c r="J609" s="20">
        <v>0</v>
      </c>
      <c r="K609" s="20">
        <v>0</v>
      </c>
      <c r="L609" s="20">
        <f t="shared" si="20"/>
        <v>2195203.9209500663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21CB1F-D6C0-4DBF-8411-99B36BD79509}">
  <dimension ref="A1:P98"/>
  <sheetViews>
    <sheetView topLeftCell="A51" workbookViewId="0">
      <selection activeCell="M54" sqref="M54"/>
    </sheetView>
  </sheetViews>
  <sheetFormatPr baseColWidth="10" defaultColWidth="8.796875" defaultRowHeight="15"/>
  <cols>
    <col min="1" max="1" width="6" style="19" bestFit="1" customWidth="1"/>
    <col min="2" max="2" width="28.796875" style="19" bestFit="1" customWidth="1"/>
    <col min="3" max="3" width="11.19921875" style="19" bestFit="1" customWidth="1"/>
    <col min="4" max="4" width="6.796875" style="19" bestFit="1" customWidth="1"/>
    <col min="5" max="5" width="7" style="19" bestFit="1" customWidth="1"/>
    <col min="6" max="6" width="7.59765625" style="19" bestFit="1" customWidth="1"/>
    <col min="7" max="7" width="7" style="19" bestFit="1" customWidth="1"/>
    <col min="8" max="8" width="6.796875" style="19" bestFit="1" customWidth="1"/>
    <col min="9" max="9" width="7" style="19" bestFit="1" customWidth="1"/>
    <col min="10" max="10" width="6.796875" style="19" bestFit="1" customWidth="1"/>
    <col min="11" max="11" width="7" style="19" bestFit="1" customWidth="1"/>
    <col min="12" max="13" width="9.3984375" style="19" bestFit="1" customWidth="1"/>
    <col min="14" max="14" width="7.796875" style="19" bestFit="1" customWidth="1"/>
    <col min="15" max="16" width="9.3984375" style="19" bestFit="1" customWidth="1"/>
    <col min="17" max="16384" width="8.796875" style="19"/>
  </cols>
  <sheetData>
    <row r="1" spans="1:16" s="18" customFormat="1" ht="64">
      <c r="A1" s="18" t="s">
        <v>2</v>
      </c>
      <c r="B1" s="18" t="s">
        <v>1972</v>
      </c>
      <c r="C1" s="18" t="s">
        <v>1971</v>
      </c>
      <c r="D1" s="18" t="s">
        <v>1970</v>
      </c>
      <c r="E1" s="18" t="s">
        <v>1969</v>
      </c>
      <c r="F1" s="18" t="s">
        <v>1968</v>
      </c>
      <c r="G1" s="18" t="s">
        <v>1967</v>
      </c>
      <c r="H1" s="18" t="s">
        <v>1966</v>
      </c>
      <c r="I1" s="18" t="s">
        <v>1965</v>
      </c>
      <c r="J1" s="18" t="s">
        <v>1964</v>
      </c>
      <c r="K1" s="18" t="s">
        <v>1963</v>
      </c>
      <c r="L1" s="18" t="s">
        <v>1962</v>
      </c>
      <c r="M1" s="18" t="s">
        <v>1961</v>
      </c>
      <c r="N1" s="18" t="s">
        <v>1960</v>
      </c>
      <c r="O1" s="18" t="s">
        <v>1959</v>
      </c>
      <c r="P1" s="18" t="s">
        <v>1958</v>
      </c>
    </row>
    <row r="2" spans="1:16">
      <c r="A2" s="19">
        <v>65821</v>
      </c>
      <c r="B2" s="20" t="s">
        <v>1957</v>
      </c>
      <c r="C2" s="20">
        <v>32.82</v>
      </c>
      <c r="D2" s="20">
        <v>0</v>
      </c>
      <c r="E2" s="20">
        <f t="shared" ref="E2:E47" si="0">D2*0.2906</f>
        <v>0</v>
      </c>
      <c r="F2" s="20">
        <v>5.76</v>
      </c>
      <c r="G2" s="20">
        <f t="shared" ref="G2:G47" si="1">F2*0.7374</f>
        <v>4.2474240000000005</v>
      </c>
      <c r="H2" s="20">
        <v>0</v>
      </c>
      <c r="I2" s="20">
        <f t="shared" ref="I2:I47" si="2">H2*1.7716</f>
        <v>0</v>
      </c>
      <c r="J2" s="20">
        <v>0</v>
      </c>
      <c r="K2" s="20">
        <f t="shared" ref="K2:K47" si="3">J2*2.3646</f>
        <v>0</v>
      </c>
      <c r="L2" s="20">
        <v>19.059999999999999</v>
      </c>
      <c r="M2" s="20">
        <f t="shared" ref="M2:M47" si="4">L2*3.2022</f>
        <v>61.033931999999993</v>
      </c>
      <c r="N2" s="20">
        <v>8</v>
      </c>
      <c r="O2" s="20">
        <f t="shared" ref="O2:O47" si="5">N2*4.7205</f>
        <v>37.764000000000003</v>
      </c>
      <c r="P2" s="20">
        <f t="shared" ref="P2:P47" si="6">C2+E2+G2+I2+K2+M2+O2</f>
        <v>135.86535599999999</v>
      </c>
    </row>
    <row r="3" spans="1:16">
      <c r="A3" s="19">
        <v>65839</v>
      </c>
      <c r="B3" s="20" t="s">
        <v>1956</v>
      </c>
      <c r="C3" s="20">
        <v>34.22</v>
      </c>
      <c r="D3" s="20">
        <v>0</v>
      </c>
      <c r="E3" s="20">
        <f t="shared" si="0"/>
        <v>0</v>
      </c>
      <c r="F3" s="20">
        <v>0</v>
      </c>
      <c r="G3" s="20">
        <f t="shared" si="1"/>
        <v>0</v>
      </c>
      <c r="H3" s="20">
        <v>0</v>
      </c>
      <c r="I3" s="20">
        <f t="shared" si="2"/>
        <v>0</v>
      </c>
      <c r="J3" s="20">
        <v>0</v>
      </c>
      <c r="K3" s="20">
        <f t="shared" si="3"/>
        <v>0</v>
      </c>
      <c r="L3" s="20">
        <v>21.220000000000002</v>
      </c>
      <c r="M3" s="20">
        <f t="shared" si="4"/>
        <v>67.95068400000001</v>
      </c>
      <c r="N3" s="20">
        <v>13</v>
      </c>
      <c r="O3" s="20">
        <f t="shared" si="5"/>
        <v>61.366500000000002</v>
      </c>
      <c r="P3" s="20">
        <f t="shared" si="6"/>
        <v>163.53718400000002</v>
      </c>
    </row>
    <row r="4" spans="1:16">
      <c r="A4" s="19">
        <v>65854</v>
      </c>
      <c r="B4" s="20" t="s">
        <v>1955</v>
      </c>
      <c r="C4" s="20">
        <v>6.47</v>
      </c>
      <c r="D4" s="20">
        <v>0</v>
      </c>
      <c r="E4" s="20">
        <f t="shared" si="0"/>
        <v>0</v>
      </c>
      <c r="F4" s="20">
        <v>0</v>
      </c>
      <c r="G4" s="20">
        <f t="shared" si="1"/>
        <v>0</v>
      </c>
      <c r="H4" s="20">
        <v>0</v>
      </c>
      <c r="I4" s="20">
        <f t="shared" si="2"/>
        <v>0</v>
      </c>
      <c r="J4" s="20">
        <v>0</v>
      </c>
      <c r="K4" s="20">
        <f t="shared" si="3"/>
        <v>0</v>
      </c>
      <c r="L4" s="20">
        <v>6.47</v>
      </c>
      <c r="M4" s="20">
        <f t="shared" si="4"/>
        <v>20.718233999999999</v>
      </c>
      <c r="N4" s="20">
        <v>0</v>
      </c>
      <c r="O4" s="20">
        <f t="shared" si="5"/>
        <v>0</v>
      </c>
      <c r="P4" s="20">
        <f t="shared" si="6"/>
        <v>27.188233999999998</v>
      </c>
    </row>
    <row r="5" spans="1:16">
      <c r="A5" s="19">
        <v>65912</v>
      </c>
      <c r="B5" s="20" t="s">
        <v>1954</v>
      </c>
      <c r="C5" s="20">
        <v>39.79</v>
      </c>
      <c r="D5" s="20">
        <v>0</v>
      </c>
      <c r="E5" s="20">
        <f t="shared" si="0"/>
        <v>0</v>
      </c>
      <c r="F5" s="20">
        <v>1</v>
      </c>
      <c r="G5" s="20">
        <f t="shared" si="1"/>
        <v>0.73740000000000006</v>
      </c>
      <c r="H5" s="20">
        <v>0</v>
      </c>
      <c r="I5" s="20">
        <f t="shared" si="2"/>
        <v>0</v>
      </c>
      <c r="J5" s="20">
        <v>0</v>
      </c>
      <c r="K5" s="20">
        <f t="shared" si="3"/>
        <v>0</v>
      </c>
      <c r="L5" s="20">
        <v>32.14</v>
      </c>
      <c r="M5" s="20">
        <f t="shared" si="4"/>
        <v>102.918708</v>
      </c>
      <c r="N5" s="20">
        <v>6.65</v>
      </c>
      <c r="O5" s="20">
        <f t="shared" si="5"/>
        <v>31.391325000000005</v>
      </c>
      <c r="P5" s="20">
        <f t="shared" si="6"/>
        <v>174.83743299999998</v>
      </c>
    </row>
    <row r="6" spans="1:16">
      <c r="A6" s="19">
        <v>65920</v>
      </c>
      <c r="B6" s="20" t="s">
        <v>1953</v>
      </c>
      <c r="C6" s="20">
        <v>47.91</v>
      </c>
      <c r="D6" s="20">
        <v>0</v>
      </c>
      <c r="E6" s="20">
        <f t="shared" si="0"/>
        <v>0</v>
      </c>
      <c r="F6" s="20">
        <v>0.46</v>
      </c>
      <c r="G6" s="20">
        <f t="shared" si="1"/>
        <v>0.33920400000000006</v>
      </c>
      <c r="H6" s="20">
        <v>0</v>
      </c>
      <c r="I6" s="20">
        <f t="shared" si="2"/>
        <v>0</v>
      </c>
      <c r="J6" s="20">
        <v>0</v>
      </c>
      <c r="K6" s="20">
        <f t="shared" si="3"/>
        <v>0</v>
      </c>
      <c r="L6" s="20">
        <v>30.720000000000002</v>
      </c>
      <c r="M6" s="20">
        <f t="shared" si="4"/>
        <v>98.371584000000013</v>
      </c>
      <c r="N6" s="20">
        <v>16.73</v>
      </c>
      <c r="O6" s="20">
        <f t="shared" si="5"/>
        <v>78.973965000000007</v>
      </c>
      <c r="P6" s="20">
        <f t="shared" si="6"/>
        <v>225.59475300000003</v>
      </c>
    </row>
    <row r="7" spans="1:16">
      <c r="A7" s="19">
        <v>65938</v>
      </c>
      <c r="B7" s="20" t="s">
        <v>1952</v>
      </c>
      <c r="C7" s="20">
        <v>11.870000000000001</v>
      </c>
      <c r="D7" s="20">
        <v>0</v>
      </c>
      <c r="E7" s="20">
        <f t="shared" si="0"/>
        <v>0</v>
      </c>
      <c r="F7" s="20">
        <v>0</v>
      </c>
      <c r="G7" s="20">
        <f t="shared" si="1"/>
        <v>0</v>
      </c>
      <c r="H7" s="20">
        <v>0</v>
      </c>
      <c r="I7" s="20">
        <f t="shared" si="2"/>
        <v>0</v>
      </c>
      <c r="J7" s="20">
        <v>0</v>
      </c>
      <c r="K7" s="20">
        <f t="shared" si="3"/>
        <v>0</v>
      </c>
      <c r="L7" s="20">
        <v>10.870000000000001</v>
      </c>
      <c r="M7" s="20">
        <f t="shared" si="4"/>
        <v>34.807914000000004</v>
      </c>
      <c r="N7" s="20">
        <v>1</v>
      </c>
      <c r="O7" s="20">
        <f t="shared" si="5"/>
        <v>4.7205000000000004</v>
      </c>
      <c r="P7" s="20">
        <f t="shared" si="6"/>
        <v>51.398414000000002</v>
      </c>
    </row>
    <row r="8" spans="1:16">
      <c r="A8" s="19">
        <v>65946</v>
      </c>
      <c r="B8" s="20" t="s">
        <v>1951</v>
      </c>
      <c r="C8" s="20">
        <v>35.590000000000003</v>
      </c>
      <c r="D8" s="20">
        <v>0</v>
      </c>
      <c r="E8" s="20">
        <f t="shared" si="0"/>
        <v>0</v>
      </c>
      <c r="F8" s="20">
        <v>0</v>
      </c>
      <c r="G8" s="20">
        <f t="shared" si="1"/>
        <v>0</v>
      </c>
      <c r="H8" s="20">
        <v>0</v>
      </c>
      <c r="I8" s="20">
        <f t="shared" si="2"/>
        <v>0</v>
      </c>
      <c r="J8" s="20">
        <v>0</v>
      </c>
      <c r="K8" s="20">
        <f t="shared" si="3"/>
        <v>0</v>
      </c>
      <c r="L8" s="20">
        <v>17.2</v>
      </c>
      <c r="M8" s="20">
        <f t="shared" si="4"/>
        <v>55.077839999999995</v>
      </c>
      <c r="N8" s="20">
        <v>18.39</v>
      </c>
      <c r="O8" s="20">
        <f t="shared" si="5"/>
        <v>86.809995000000015</v>
      </c>
      <c r="P8" s="20">
        <f t="shared" si="6"/>
        <v>177.47783500000003</v>
      </c>
    </row>
    <row r="9" spans="1:16">
      <c r="A9" s="19">
        <v>65979</v>
      </c>
      <c r="B9" s="20" t="s">
        <v>1950</v>
      </c>
      <c r="C9" s="20">
        <v>150.99</v>
      </c>
      <c r="D9" s="20">
        <v>0</v>
      </c>
      <c r="E9" s="20">
        <f t="shared" si="0"/>
        <v>0</v>
      </c>
      <c r="F9" s="20">
        <v>0</v>
      </c>
      <c r="G9" s="20">
        <f t="shared" si="1"/>
        <v>0</v>
      </c>
      <c r="H9" s="20">
        <v>0</v>
      </c>
      <c r="I9" s="20">
        <f t="shared" si="2"/>
        <v>0</v>
      </c>
      <c r="J9" s="20">
        <v>0</v>
      </c>
      <c r="K9" s="20">
        <f t="shared" si="3"/>
        <v>0</v>
      </c>
      <c r="L9" s="20">
        <v>117.6</v>
      </c>
      <c r="M9" s="20">
        <f t="shared" si="4"/>
        <v>376.57871999999998</v>
      </c>
      <c r="N9" s="20">
        <v>33.39</v>
      </c>
      <c r="O9" s="20">
        <f t="shared" si="5"/>
        <v>157.61749500000002</v>
      </c>
      <c r="P9" s="20">
        <f t="shared" si="6"/>
        <v>685.18621499999995</v>
      </c>
    </row>
    <row r="10" spans="1:16">
      <c r="A10" s="19">
        <v>65995</v>
      </c>
      <c r="B10" s="20" t="s">
        <v>1949</v>
      </c>
      <c r="C10" s="20">
        <v>75.010000000000005</v>
      </c>
      <c r="D10" s="20">
        <v>0</v>
      </c>
      <c r="E10" s="20">
        <f t="shared" si="0"/>
        <v>0</v>
      </c>
      <c r="F10" s="20">
        <v>7</v>
      </c>
      <c r="G10" s="20">
        <f t="shared" si="1"/>
        <v>5.1618000000000004</v>
      </c>
      <c r="H10" s="20">
        <v>0</v>
      </c>
      <c r="I10" s="20">
        <f t="shared" si="2"/>
        <v>0</v>
      </c>
      <c r="J10" s="20">
        <v>1</v>
      </c>
      <c r="K10" s="20">
        <f t="shared" si="3"/>
        <v>2.3645999999999998</v>
      </c>
      <c r="L10" s="20">
        <v>29.42</v>
      </c>
      <c r="M10" s="20">
        <f t="shared" si="4"/>
        <v>94.208724000000004</v>
      </c>
      <c r="N10" s="20">
        <v>37.590000000000003</v>
      </c>
      <c r="O10" s="20">
        <f t="shared" si="5"/>
        <v>177.44359500000002</v>
      </c>
      <c r="P10" s="20">
        <f t="shared" si="6"/>
        <v>354.18871899999999</v>
      </c>
    </row>
    <row r="11" spans="1:16">
      <c r="A11" s="19">
        <v>66019</v>
      </c>
      <c r="B11" s="20" t="s">
        <v>1948</v>
      </c>
      <c r="C11" s="20">
        <v>14.96</v>
      </c>
      <c r="D11" s="20">
        <v>0</v>
      </c>
      <c r="E11" s="20">
        <f t="shared" si="0"/>
        <v>0</v>
      </c>
      <c r="F11" s="20">
        <v>0</v>
      </c>
      <c r="G11" s="20">
        <f t="shared" si="1"/>
        <v>0</v>
      </c>
      <c r="H11" s="20">
        <v>0</v>
      </c>
      <c r="I11" s="20">
        <f t="shared" si="2"/>
        <v>0</v>
      </c>
      <c r="J11" s="20">
        <v>0</v>
      </c>
      <c r="K11" s="20">
        <f t="shared" si="3"/>
        <v>0</v>
      </c>
      <c r="L11" s="20">
        <v>12.08</v>
      </c>
      <c r="M11" s="20">
        <f t="shared" si="4"/>
        <v>38.682575999999997</v>
      </c>
      <c r="N11" s="20">
        <v>2.88</v>
      </c>
      <c r="O11" s="20">
        <f t="shared" si="5"/>
        <v>13.595040000000001</v>
      </c>
      <c r="P11" s="20">
        <f t="shared" si="6"/>
        <v>67.237616000000003</v>
      </c>
    </row>
    <row r="12" spans="1:16">
      <c r="A12" s="19">
        <v>66027</v>
      </c>
      <c r="B12" s="20" t="s">
        <v>1947</v>
      </c>
      <c r="C12" s="20">
        <v>13.24</v>
      </c>
      <c r="D12" s="20">
        <v>0</v>
      </c>
      <c r="E12" s="20">
        <f t="shared" si="0"/>
        <v>0</v>
      </c>
      <c r="F12" s="20">
        <v>0</v>
      </c>
      <c r="G12" s="20">
        <f t="shared" si="1"/>
        <v>0</v>
      </c>
      <c r="H12" s="20">
        <v>1</v>
      </c>
      <c r="I12" s="20">
        <f t="shared" si="2"/>
        <v>1.7716000000000001</v>
      </c>
      <c r="J12" s="20">
        <v>0.48</v>
      </c>
      <c r="K12" s="20">
        <f t="shared" si="3"/>
        <v>1.1350079999999998</v>
      </c>
      <c r="L12" s="20">
        <v>10.620000000000001</v>
      </c>
      <c r="M12" s="20">
        <f t="shared" si="4"/>
        <v>34.007364000000003</v>
      </c>
      <c r="N12" s="20">
        <v>1.1399999999999999</v>
      </c>
      <c r="O12" s="20">
        <f t="shared" si="5"/>
        <v>5.3813699999999995</v>
      </c>
      <c r="P12" s="20">
        <f t="shared" si="6"/>
        <v>55.535342</v>
      </c>
    </row>
    <row r="13" spans="1:16">
      <c r="A13" s="19">
        <v>66043</v>
      </c>
      <c r="B13" s="20" t="s">
        <v>1946</v>
      </c>
      <c r="C13" s="20">
        <v>36.31</v>
      </c>
      <c r="D13" s="20">
        <v>0</v>
      </c>
      <c r="E13" s="20">
        <f t="shared" si="0"/>
        <v>0</v>
      </c>
      <c r="F13" s="20">
        <v>0</v>
      </c>
      <c r="G13" s="20">
        <f t="shared" si="1"/>
        <v>0</v>
      </c>
      <c r="H13" s="20">
        <v>0</v>
      </c>
      <c r="I13" s="20">
        <f t="shared" si="2"/>
        <v>0</v>
      </c>
      <c r="J13" s="20">
        <v>1</v>
      </c>
      <c r="K13" s="20">
        <f t="shared" si="3"/>
        <v>2.3645999999999998</v>
      </c>
      <c r="L13" s="20">
        <v>32.31</v>
      </c>
      <c r="M13" s="20">
        <f t="shared" si="4"/>
        <v>103.463082</v>
      </c>
      <c r="N13" s="20">
        <v>3</v>
      </c>
      <c r="O13" s="20">
        <f t="shared" si="5"/>
        <v>14.1615</v>
      </c>
      <c r="P13" s="20">
        <f t="shared" si="6"/>
        <v>156.299182</v>
      </c>
    </row>
    <row r="14" spans="1:16">
      <c r="A14" s="19">
        <v>66050</v>
      </c>
      <c r="B14" s="20" t="s">
        <v>1945</v>
      </c>
      <c r="C14" s="20">
        <v>51.22</v>
      </c>
      <c r="D14" s="20">
        <v>0</v>
      </c>
      <c r="E14" s="20">
        <f t="shared" si="0"/>
        <v>0</v>
      </c>
      <c r="F14" s="20">
        <v>0</v>
      </c>
      <c r="G14" s="20">
        <f t="shared" si="1"/>
        <v>0</v>
      </c>
      <c r="H14" s="20">
        <v>0</v>
      </c>
      <c r="I14" s="20">
        <f t="shared" si="2"/>
        <v>0</v>
      </c>
      <c r="J14" s="20">
        <v>0</v>
      </c>
      <c r="K14" s="20">
        <f t="shared" si="3"/>
        <v>0</v>
      </c>
      <c r="L14" s="20">
        <v>21.96</v>
      </c>
      <c r="M14" s="20">
        <f t="shared" si="4"/>
        <v>70.320312000000001</v>
      </c>
      <c r="N14" s="20">
        <v>29.259999999999998</v>
      </c>
      <c r="O14" s="20">
        <f t="shared" si="5"/>
        <v>138.12182999999999</v>
      </c>
      <c r="P14" s="20">
        <f t="shared" si="6"/>
        <v>259.66214200000002</v>
      </c>
    </row>
    <row r="15" spans="1:16">
      <c r="A15" s="19">
        <v>66068</v>
      </c>
      <c r="B15" s="20" t="s">
        <v>1944</v>
      </c>
      <c r="C15" s="20">
        <v>63.73</v>
      </c>
      <c r="D15" s="20">
        <v>0</v>
      </c>
      <c r="E15" s="20">
        <f t="shared" si="0"/>
        <v>0</v>
      </c>
      <c r="F15" s="20">
        <v>0.47</v>
      </c>
      <c r="G15" s="20">
        <f t="shared" si="1"/>
        <v>0.346578</v>
      </c>
      <c r="H15" s="20">
        <v>0</v>
      </c>
      <c r="I15" s="20">
        <f t="shared" si="2"/>
        <v>0</v>
      </c>
      <c r="J15" s="20">
        <v>0</v>
      </c>
      <c r="K15" s="20">
        <f t="shared" si="3"/>
        <v>0</v>
      </c>
      <c r="L15" s="20">
        <v>30.98</v>
      </c>
      <c r="M15" s="20">
        <f t="shared" si="4"/>
        <v>99.204155999999998</v>
      </c>
      <c r="N15" s="20">
        <v>32.28</v>
      </c>
      <c r="O15" s="20">
        <f t="shared" si="5"/>
        <v>152.37774000000002</v>
      </c>
      <c r="P15" s="20">
        <f t="shared" si="6"/>
        <v>315.65847400000001</v>
      </c>
    </row>
    <row r="16" spans="1:16">
      <c r="A16" s="19">
        <v>66092</v>
      </c>
      <c r="B16" s="20" t="s">
        <v>1943</v>
      </c>
      <c r="C16" s="20">
        <v>138.81</v>
      </c>
      <c r="D16" s="20">
        <v>0</v>
      </c>
      <c r="E16" s="20">
        <f t="shared" si="0"/>
        <v>0</v>
      </c>
      <c r="F16" s="20">
        <v>2</v>
      </c>
      <c r="G16" s="20">
        <f t="shared" si="1"/>
        <v>1.4748000000000001</v>
      </c>
      <c r="H16" s="20">
        <v>0</v>
      </c>
      <c r="I16" s="20">
        <f t="shared" si="2"/>
        <v>0</v>
      </c>
      <c r="J16" s="20">
        <v>0</v>
      </c>
      <c r="K16" s="20">
        <f t="shared" si="3"/>
        <v>0</v>
      </c>
      <c r="L16" s="20">
        <v>109.91999999999999</v>
      </c>
      <c r="M16" s="20">
        <f t="shared" si="4"/>
        <v>351.98582399999998</v>
      </c>
      <c r="N16" s="20">
        <v>26.89</v>
      </c>
      <c r="O16" s="20">
        <f t="shared" si="5"/>
        <v>126.93424500000002</v>
      </c>
      <c r="P16" s="20">
        <f t="shared" si="6"/>
        <v>619.20486900000003</v>
      </c>
    </row>
    <row r="17" spans="1:16">
      <c r="A17" s="19">
        <v>66100</v>
      </c>
      <c r="B17" s="20" t="s">
        <v>1942</v>
      </c>
      <c r="C17" s="20">
        <v>15.39</v>
      </c>
      <c r="D17" s="20">
        <v>0</v>
      </c>
      <c r="E17" s="20">
        <f t="shared" si="0"/>
        <v>0</v>
      </c>
      <c r="F17" s="20">
        <v>3.73</v>
      </c>
      <c r="G17" s="20">
        <f t="shared" si="1"/>
        <v>2.750502</v>
      </c>
      <c r="H17" s="20">
        <v>0</v>
      </c>
      <c r="I17" s="20">
        <f t="shared" si="2"/>
        <v>0</v>
      </c>
      <c r="J17" s="20">
        <v>0</v>
      </c>
      <c r="K17" s="20">
        <f t="shared" si="3"/>
        <v>0</v>
      </c>
      <c r="L17" s="20">
        <v>5.66</v>
      </c>
      <c r="M17" s="20">
        <f t="shared" si="4"/>
        <v>18.124452000000002</v>
      </c>
      <c r="N17" s="20">
        <v>6</v>
      </c>
      <c r="O17" s="20">
        <f t="shared" si="5"/>
        <v>28.323</v>
      </c>
      <c r="P17" s="20">
        <f t="shared" si="6"/>
        <v>64.587953999999996</v>
      </c>
    </row>
    <row r="18" spans="1:16">
      <c r="A18" s="19">
        <v>66118</v>
      </c>
      <c r="B18" s="20" t="s">
        <v>1941</v>
      </c>
      <c r="C18" s="20">
        <v>67.919999999999987</v>
      </c>
      <c r="D18" s="20">
        <v>0</v>
      </c>
      <c r="E18" s="20">
        <f t="shared" si="0"/>
        <v>0</v>
      </c>
      <c r="F18" s="20">
        <v>0</v>
      </c>
      <c r="G18" s="20">
        <f t="shared" si="1"/>
        <v>0</v>
      </c>
      <c r="H18" s="20">
        <v>0</v>
      </c>
      <c r="I18" s="20">
        <f t="shared" si="2"/>
        <v>0</v>
      </c>
      <c r="J18" s="20">
        <v>0</v>
      </c>
      <c r="K18" s="20">
        <f t="shared" si="3"/>
        <v>0</v>
      </c>
      <c r="L18" s="20">
        <v>49.31</v>
      </c>
      <c r="M18" s="20">
        <f t="shared" si="4"/>
        <v>157.90048200000001</v>
      </c>
      <c r="N18" s="20">
        <v>18.61</v>
      </c>
      <c r="O18" s="20">
        <f t="shared" si="5"/>
        <v>87.848505000000003</v>
      </c>
      <c r="P18" s="20">
        <f t="shared" si="6"/>
        <v>313.66898700000002</v>
      </c>
    </row>
    <row r="19" spans="1:16">
      <c r="A19" s="19">
        <v>66134</v>
      </c>
      <c r="B19" s="20" t="s">
        <v>1940</v>
      </c>
      <c r="C19" s="20">
        <v>32.36</v>
      </c>
      <c r="D19" s="20">
        <v>0</v>
      </c>
      <c r="E19" s="20">
        <f t="shared" si="0"/>
        <v>0</v>
      </c>
      <c r="F19" s="20">
        <v>0</v>
      </c>
      <c r="G19" s="20">
        <f t="shared" si="1"/>
        <v>0</v>
      </c>
      <c r="H19" s="20">
        <v>0</v>
      </c>
      <c r="I19" s="20">
        <f t="shared" si="2"/>
        <v>0</v>
      </c>
      <c r="J19" s="20">
        <v>1</v>
      </c>
      <c r="K19" s="20">
        <f t="shared" si="3"/>
        <v>2.3645999999999998</v>
      </c>
      <c r="L19" s="20">
        <v>17.89</v>
      </c>
      <c r="M19" s="20">
        <f t="shared" si="4"/>
        <v>57.287357999999998</v>
      </c>
      <c r="N19" s="20">
        <v>13.47</v>
      </c>
      <c r="O19" s="20">
        <f t="shared" si="5"/>
        <v>63.585135000000008</v>
      </c>
      <c r="P19" s="20">
        <f t="shared" si="6"/>
        <v>155.597093</v>
      </c>
    </row>
    <row r="20" spans="1:16">
      <c r="A20" s="19">
        <v>66142</v>
      </c>
      <c r="B20" s="20" t="s">
        <v>1939</v>
      </c>
      <c r="C20" s="20">
        <v>17.03</v>
      </c>
      <c r="D20" s="20">
        <v>0</v>
      </c>
      <c r="E20" s="20">
        <f t="shared" si="0"/>
        <v>0</v>
      </c>
      <c r="F20" s="20">
        <v>2.66</v>
      </c>
      <c r="G20" s="20">
        <f t="shared" si="1"/>
        <v>1.9614840000000002</v>
      </c>
      <c r="H20" s="20">
        <v>0</v>
      </c>
      <c r="I20" s="20">
        <f t="shared" si="2"/>
        <v>0</v>
      </c>
      <c r="J20" s="20">
        <v>0</v>
      </c>
      <c r="K20" s="20">
        <f t="shared" si="3"/>
        <v>0</v>
      </c>
      <c r="L20" s="20">
        <v>11</v>
      </c>
      <c r="M20" s="20">
        <f t="shared" si="4"/>
        <v>35.224199999999996</v>
      </c>
      <c r="N20" s="20">
        <v>3.37</v>
      </c>
      <c r="O20" s="20">
        <f t="shared" si="5"/>
        <v>15.908085000000002</v>
      </c>
      <c r="P20" s="20">
        <f t="shared" si="6"/>
        <v>70.123768999999996</v>
      </c>
    </row>
    <row r="21" spans="1:16">
      <c r="A21" s="19">
        <v>66191</v>
      </c>
      <c r="B21" s="20" t="s">
        <v>1938</v>
      </c>
      <c r="C21" s="20">
        <v>6</v>
      </c>
      <c r="D21" s="20">
        <v>0</v>
      </c>
      <c r="E21" s="20">
        <f t="shared" si="0"/>
        <v>0</v>
      </c>
      <c r="F21" s="20">
        <v>0</v>
      </c>
      <c r="G21" s="20">
        <f t="shared" si="1"/>
        <v>0</v>
      </c>
      <c r="H21" s="20">
        <v>0</v>
      </c>
      <c r="I21" s="20">
        <f t="shared" si="2"/>
        <v>0</v>
      </c>
      <c r="J21" s="20">
        <v>0</v>
      </c>
      <c r="K21" s="20">
        <f t="shared" si="3"/>
        <v>0</v>
      </c>
      <c r="L21" s="20">
        <v>3</v>
      </c>
      <c r="M21" s="20">
        <f t="shared" si="4"/>
        <v>9.6066000000000003</v>
      </c>
      <c r="N21" s="20">
        <v>3</v>
      </c>
      <c r="O21" s="20">
        <f t="shared" si="5"/>
        <v>14.1615</v>
      </c>
      <c r="P21" s="20">
        <f t="shared" si="6"/>
        <v>29.7681</v>
      </c>
    </row>
    <row r="22" spans="1:16">
      <c r="A22" s="19">
        <v>66225</v>
      </c>
      <c r="B22" s="20" t="s">
        <v>1937</v>
      </c>
      <c r="C22" s="20">
        <v>95.320000000000007</v>
      </c>
      <c r="D22" s="20">
        <v>0</v>
      </c>
      <c r="E22" s="20">
        <f t="shared" si="0"/>
        <v>0</v>
      </c>
      <c r="F22" s="20">
        <v>0</v>
      </c>
      <c r="G22" s="20">
        <f t="shared" si="1"/>
        <v>0</v>
      </c>
      <c r="H22" s="20">
        <v>2</v>
      </c>
      <c r="I22" s="20">
        <f t="shared" si="2"/>
        <v>3.5432000000000001</v>
      </c>
      <c r="J22" s="20">
        <v>0</v>
      </c>
      <c r="K22" s="20">
        <f t="shared" si="3"/>
        <v>0</v>
      </c>
      <c r="L22" s="20">
        <v>50.820000000000007</v>
      </c>
      <c r="M22" s="20">
        <f t="shared" si="4"/>
        <v>162.73580400000003</v>
      </c>
      <c r="N22" s="20">
        <v>42.5</v>
      </c>
      <c r="O22" s="20">
        <f t="shared" si="5"/>
        <v>200.62125</v>
      </c>
      <c r="P22" s="20">
        <f t="shared" si="6"/>
        <v>462.22025400000007</v>
      </c>
    </row>
    <row r="23" spans="1:16">
      <c r="A23" s="19">
        <v>66233</v>
      </c>
      <c r="B23" s="20" t="s">
        <v>1936</v>
      </c>
      <c r="C23" s="20">
        <v>21.659999999999997</v>
      </c>
      <c r="D23" s="20">
        <v>0</v>
      </c>
      <c r="E23" s="20">
        <f t="shared" si="0"/>
        <v>0</v>
      </c>
      <c r="F23" s="20">
        <v>0</v>
      </c>
      <c r="G23" s="20">
        <f t="shared" si="1"/>
        <v>0</v>
      </c>
      <c r="H23" s="20">
        <v>0</v>
      </c>
      <c r="I23" s="20">
        <f t="shared" si="2"/>
        <v>0</v>
      </c>
      <c r="J23" s="20">
        <v>0</v>
      </c>
      <c r="K23" s="20">
        <f t="shared" si="3"/>
        <v>0</v>
      </c>
      <c r="L23" s="20">
        <v>19.169999999999998</v>
      </c>
      <c r="M23" s="20">
        <f t="shared" si="4"/>
        <v>61.38617399999999</v>
      </c>
      <c r="N23" s="20">
        <v>2.4900000000000002</v>
      </c>
      <c r="O23" s="20">
        <f t="shared" si="5"/>
        <v>11.754045000000001</v>
      </c>
      <c r="P23" s="20">
        <f t="shared" si="6"/>
        <v>94.800218999999984</v>
      </c>
    </row>
    <row r="24" spans="1:16">
      <c r="A24" s="19">
        <v>66241</v>
      </c>
      <c r="B24" s="20" t="s">
        <v>1935</v>
      </c>
      <c r="C24" s="20">
        <v>50.55</v>
      </c>
      <c r="D24" s="20">
        <v>0</v>
      </c>
      <c r="E24" s="20">
        <f t="shared" si="0"/>
        <v>0</v>
      </c>
      <c r="F24" s="20">
        <v>0</v>
      </c>
      <c r="G24" s="20">
        <f t="shared" si="1"/>
        <v>0</v>
      </c>
      <c r="H24" s="20">
        <v>0</v>
      </c>
      <c r="I24" s="20">
        <f t="shared" si="2"/>
        <v>0</v>
      </c>
      <c r="J24" s="20">
        <v>0</v>
      </c>
      <c r="K24" s="20">
        <f t="shared" si="3"/>
        <v>0</v>
      </c>
      <c r="L24" s="20">
        <v>40.549999999999997</v>
      </c>
      <c r="M24" s="20">
        <f t="shared" si="4"/>
        <v>129.84921</v>
      </c>
      <c r="N24" s="20">
        <v>10</v>
      </c>
      <c r="O24" s="20">
        <f t="shared" si="5"/>
        <v>47.205000000000005</v>
      </c>
      <c r="P24" s="20">
        <f t="shared" si="6"/>
        <v>227.60420999999999</v>
      </c>
    </row>
    <row r="25" spans="1:16">
      <c r="A25" s="19">
        <v>66266</v>
      </c>
      <c r="B25" s="20" t="s">
        <v>1934</v>
      </c>
      <c r="C25" s="20">
        <v>105.47</v>
      </c>
      <c r="D25" s="20">
        <v>0</v>
      </c>
      <c r="E25" s="20">
        <f t="shared" si="0"/>
        <v>0</v>
      </c>
      <c r="F25" s="20">
        <v>2</v>
      </c>
      <c r="G25" s="20">
        <f t="shared" si="1"/>
        <v>1.4748000000000001</v>
      </c>
      <c r="H25" s="20">
        <v>0</v>
      </c>
      <c r="I25" s="20">
        <f t="shared" si="2"/>
        <v>0</v>
      </c>
      <c r="J25" s="20">
        <v>0</v>
      </c>
      <c r="K25" s="20">
        <f t="shared" si="3"/>
        <v>0</v>
      </c>
      <c r="L25" s="20">
        <v>79.319999999999993</v>
      </c>
      <c r="M25" s="20">
        <f t="shared" si="4"/>
        <v>253.99850399999997</v>
      </c>
      <c r="N25" s="20">
        <v>24.15</v>
      </c>
      <c r="O25" s="20">
        <f t="shared" si="5"/>
        <v>114.000075</v>
      </c>
      <c r="P25" s="20">
        <f t="shared" si="6"/>
        <v>474.94337899999994</v>
      </c>
    </row>
    <row r="26" spans="1:16">
      <c r="A26" s="19">
        <v>66274</v>
      </c>
      <c r="B26" s="20" t="s">
        <v>1933</v>
      </c>
      <c r="C26" s="20">
        <v>40.900000000000006</v>
      </c>
      <c r="D26" s="20">
        <v>0</v>
      </c>
      <c r="E26" s="20">
        <f t="shared" si="0"/>
        <v>0</v>
      </c>
      <c r="F26" s="20">
        <v>2</v>
      </c>
      <c r="G26" s="20">
        <f t="shared" si="1"/>
        <v>1.4748000000000001</v>
      </c>
      <c r="H26" s="20">
        <v>1</v>
      </c>
      <c r="I26" s="20">
        <f t="shared" si="2"/>
        <v>1.7716000000000001</v>
      </c>
      <c r="J26" s="20">
        <v>0</v>
      </c>
      <c r="K26" s="20">
        <f t="shared" si="3"/>
        <v>0</v>
      </c>
      <c r="L26" s="20">
        <v>21.9</v>
      </c>
      <c r="M26" s="20">
        <f t="shared" si="4"/>
        <v>70.12818</v>
      </c>
      <c r="N26" s="20">
        <v>16</v>
      </c>
      <c r="O26" s="20">
        <f t="shared" si="5"/>
        <v>75.528000000000006</v>
      </c>
      <c r="P26" s="20">
        <f t="shared" si="6"/>
        <v>189.80258000000003</v>
      </c>
    </row>
    <row r="27" spans="1:16">
      <c r="A27" s="19">
        <v>66290</v>
      </c>
      <c r="B27" s="20" t="s">
        <v>1932</v>
      </c>
      <c r="C27" s="20">
        <v>6</v>
      </c>
      <c r="D27" s="20">
        <v>0</v>
      </c>
      <c r="E27" s="20">
        <f t="shared" si="0"/>
        <v>0</v>
      </c>
      <c r="F27" s="20">
        <v>0</v>
      </c>
      <c r="G27" s="20">
        <f t="shared" si="1"/>
        <v>0</v>
      </c>
      <c r="H27" s="20">
        <v>0</v>
      </c>
      <c r="I27" s="20">
        <f t="shared" si="2"/>
        <v>0</v>
      </c>
      <c r="J27" s="20">
        <v>0</v>
      </c>
      <c r="K27" s="20">
        <f t="shared" si="3"/>
        <v>0</v>
      </c>
      <c r="L27" s="20">
        <v>6</v>
      </c>
      <c r="M27" s="20">
        <f t="shared" si="4"/>
        <v>19.213200000000001</v>
      </c>
      <c r="N27" s="20">
        <v>0</v>
      </c>
      <c r="O27" s="20">
        <f t="shared" si="5"/>
        <v>0</v>
      </c>
      <c r="P27" s="20">
        <f t="shared" si="6"/>
        <v>25.213200000000001</v>
      </c>
    </row>
    <row r="28" spans="1:16">
      <c r="A28" s="19">
        <v>66308</v>
      </c>
      <c r="B28" s="20" t="s">
        <v>1931</v>
      </c>
      <c r="C28" s="20">
        <v>25.72</v>
      </c>
      <c r="D28" s="20">
        <v>0</v>
      </c>
      <c r="E28" s="20">
        <f t="shared" si="0"/>
        <v>0</v>
      </c>
      <c r="F28" s="20">
        <v>0</v>
      </c>
      <c r="G28" s="20">
        <f t="shared" si="1"/>
        <v>0</v>
      </c>
      <c r="H28" s="20">
        <v>0</v>
      </c>
      <c r="I28" s="20">
        <f t="shared" si="2"/>
        <v>0</v>
      </c>
      <c r="J28" s="20">
        <v>0</v>
      </c>
      <c r="K28" s="20">
        <f t="shared" si="3"/>
        <v>0</v>
      </c>
      <c r="L28" s="20">
        <v>23.97</v>
      </c>
      <c r="M28" s="20">
        <f t="shared" si="4"/>
        <v>76.756733999999994</v>
      </c>
      <c r="N28" s="20">
        <v>1.75</v>
      </c>
      <c r="O28" s="20">
        <f t="shared" si="5"/>
        <v>8.2608750000000004</v>
      </c>
      <c r="P28" s="20">
        <f t="shared" si="6"/>
        <v>110.73760899999999</v>
      </c>
    </row>
    <row r="29" spans="1:16">
      <c r="A29" s="19">
        <v>66324</v>
      </c>
      <c r="B29" s="20" t="s">
        <v>1930</v>
      </c>
      <c r="C29" s="20">
        <v>113.7</v>
      </c>
      <c r="D29" s="20">
        <v>0</v>
      </c>
      <c r="E29" s="20">
        <f t="shared" si="0"/>
        <v>0</v>
      </c>
      <c r="F29" s="20">
        <v>0</v>
      </c>
      <c r="G29" s="20">
        <f t="shared" si="1"/>
        <v>0</v>
      </c>
      <c r="H29" s="20">
        <v>0</v>
      </c>
      <c r="I29" s="20">
        <f t="shared" si="2"/>
        <v>0</v>
      </c>
      <c r="J29" s="20">
        <v>0</v>
      </c>
      <c r="K29" s="20">
        <f t="shared" si="3"/>
        <v>0</v>
      </c>
      <c r="L29" s="20">
        <v>76.75</v>
      </c>
      <c r="M29" s="20">
        <f t="shared" si="4"/>
        <v>245.76884999999999</v>
      </c>
      <c r="N29" s="20">
        <v>36.950000000000003</v>
      </c>
      <c r="O29" s="20">
        <f t="shared" si="5"/>
        <v>174.42247500000002</v>
      </c>
      <c r="P29" s="20">
        <f t="shared" si="6"/>
        <v>533.89132500000005</v>
      </c>
    </row>
    <row r="30" spans="1:16">
      <c r="A30" s="19">
        <v>66357</v>
      </c>
      <c r="B30" s="20" t="s">
        <v>1929</v>
      </c>
      <c r="C30" s="20">
        <v>44.21</v>
      </c>
      <c r="D30" s="20">
        <v>0</v>
      </c>
      <c r="E30" s="20">
        <f t="shared" si="0"/>
        <v>0</v>
      </c>
      <c r="F30" s="20">
        <v>0</v>
      </c>
      <c r="G30" s="20">
        <f t="shared" si="1"/>
        <v>0</v>
      </c>
      <c r="H30" s="20">
        <v>0</v>
      </c>
      <c r="I30" s="20">
        <f t="shared" si="2"/>
        <v>0</v>
      </c>
      <c r="J30" s="20">
        <v>0</v>
      </c>
      <c r="K30" s="20">
        <f t="shared" si="3"/>
        <v>0</v>
      </c>
      <c r="L30" s="20">
        <v>37.21</v>
      </c>
      <c r="M30" s="20">
        <f t="shared" si="4"/>
        <v>119.153862</v>
      </c>
      <c r="N30" s="20">
        <v>7</v>
      </c>
      <c r="O30" s="20">
        <f t="shared" si="5"/>
        <v>33.043500000000002</v>
      </c>
      <c r="P30" s="20">
        <f t="shared" si="6"/>
        <v>196.40736200000001</v>
      </c>
    </row>
    <row r="31" spans="1:16">
      <c r="A31" s="19">
        <v>67231</v>
      </c>
      <c r="B31" s="20" t="s">
        <v>1928</v>
      </c>
      <c r="C31" s="20">
        <v>70.17</v>
      </c>
      <c r="D31" s="20">
        <v>0</v>
      </c>
      <c r="E31" s="20">
        <f t="shared" si="0"/>
        <v>0</v>
      </c>
      <c r="F31" s="20">
        <v>0</v>
      </c>
      <c r="G31" s="20">
        <f t="shared" si="1"/>
        <v>0</v>
      </c>
      <c r="H31" s="20">
        <v>0</v>
      </c>
      <c r="I31" s="20">
        <f t="shared" si="2"/>
        <v>0</v>
      </c>
      <c r="J31" s="20">
        <v>1</v>
      </c>
      <c r="K31" s="20">
        <f t="shared" si="3"/>
        <v>2.3645999999999998</v>
      </c>
      <c r="L31" s="20">
        <v>43.31</v>
      </c>
      <c r="M31" s="20">
        <f t="shared" si="4"/>
        <v>138.68728200000001</v>
      </c>
      <c r="N31" s="20">
        <v>25.86</v>
      </c>
      <c r="O31" s="20">
        <f t="shared" si="5"/>
        <v>122.07213</v>
      </c>
      <c r="P31" s="20">
        <f t="shared" si="6"/>
        <v>333.29401200000001</v>
      </c>
    </row>
    <row r="32" spans="1:16">
      <c r="A32" s="19">
        <v>68890</v>
      </c>
      <c r="B32" s="20" t="s">
        <v>1927</v>
      </c>
      <c r="C32" s="20">
        <v>25.400000000000002</v>
      </c>
      <c r="D32" s="20">
        <v>0</v>
      </c>
      <c r="E32" s="20">
        <f t="shared" si="0"/>
        <v>0</v>
      </c>
      <c r="F32" s="20">
        <v>0</v>
      </c>
      <c r="G32" s="20">
        <f t="shared" si="1"/>
        <v>0</v>
      </c>
      <c r="H32" s="20">
        <v>0</v>
      </c>
      <c r="I32" s="20">
        <f t="shared" si="2"/>
        <v>0</v>
      </c>
      <c r="J32" s="20">
        <v>0</v>
      </c>
      <c r="K32" s="20">
        <f t="shared" si="3"/>
        <v>0</v>
      </c>
      <c r="L32" s="20">
        <v>20.14</v>
      </c>
      <c r="M32" s="20">
        <f t="shared" si="4"/>
        <v>64.492307999999994</v>
      </c>
      <c r="N32" s="20">
        <v>5.2600000000000007</v>
      </c>
      <c r="O32" s="20">
        <f t="shared" si="5"/>
        <v>24.829830000000005</v>
      </c>
      <c r="P32" s="20">
        <f t="shared" si="6"/>
        <v>114.722138</v>
      </c>
    </row>
    <row r="33" spans="1:16">
      <c r="A33" s="19">
        <v>69229</v>
      </c>
      <c r="B33" s="20" t="s">
        <v>1926</v>
      </c>
      <c r="C33" s="20">
        <v>60.44</v>
      </c>
      <c r="D33" s="20">
        <v>0</v>
      </c>
      <c r="E33" s="20">
        <f t="shared" si="0"/>
        <v>0</v>
      </c>
      <c r="F33" s="20">
        <v>0</v>
      </c>
      <c r="G33" s="20">
        <f t="shared" si="1"/>
        <v>0</v>
      </c>
      <c r="H33" s="20">
        <v>0</v>
      </c>
      <c r="I33" s="20">
        <f t="shared" si="2"/>
        <v>0</v>
      </c>
      <c r="J33" s="20">
        <v>0</v>
      </c>
      <c r="K33" s="20">
        <f t="shared" si="3"/>
        <v>0</v>
      </c>
      <c r="L33" s="20">
        <v>60.44</v>
      </c>
      <c r="M33" s="20">
        <f t="shared" si="4"/>
        <v>193.54096799999999</v>
      </c>
      <c r="N33" s="20">
        <v>0</v>
      </c>
      <c r="O33" s="20">
        <f t="shared" si="5"/>
        <v>0</v>
      </c>
      <c r="P33" s="20">
        <f t="shared" si="6"/>
        <v>253.98096799999999</v>
      </c>
    </row>
    <row r="34" spans="1:16">
      <c r="A34" s="19">
        <v>69625</v>
      </c>
      <c r="B34" s="20" t="s">
        <v>1925</v>
      </c>
      <c r="C34" s="20">
        <v>36.519999999999996</v>
      </c>
      <c r="D34" s="20">
        <v>1</v>
      </c>
      <c r="E34" s="20">
        <f t="shared" si="0"/>
        <v>0.29060000000000002</v>
      </c>
      <c r="F34" s="20">
        <v>2.8600000000000003</v>
      </c>
      <c r="G34" s="20">
        <f t="shared" si="1"/>
        <v>2.1089640000000003</v>
      </c>
      <c r="H34" s="20">
        <v>1</v>
      </c>
      <c r="I34" s="20">
        <f t="shared" si="2"/>
        <v>1.7716000000000001</v>
      </c>
      <c r="J34" s="20">
        <v>0</v>
      </c>
      <c r="K34" s="20">
        <f t="shared" si="3"/>
        <v>0</v>
      </c>
      <c r="L34" s="20">
        <v>19.939999999999998</v>
      </c>
      <c r="M34" s="20">
        <f t="shared" si="4"/>
        <v>63.851867999999989</v>
      </c>
      <c r="N34" s="20">
        <v>11.72</v>
      </c>
      <c r="O34" s="20">
        <f t="shared" si="5"/>
        <v>55.32426000000001</v>
      </c>
      <c r="P34" s="20">
        <f t="shared" si="6"/>
        <v>159.86729199999999</v>
      </c>
    </row>
    <row r="35" spans="1:16">
      <c r="A35" s="19">
        <v>69773</v>
      </c>
      <c r="B35" s="20" t="s">
        <v>1924</v>
      </c>
      <c r="C35" s="20">
        <v>12.27</v>
      </c>
      <c r="D35" s="20">
        <v>0</v>
      </c>
      <c r="E35" s="20">
        <f t="shared" si="0"/>
        <v>0</v>
      </c>
      <c r="F35" s="20">
        <v>0</v>
      </c>
      <c r="G35" s="20">
        <f t="shared" si="1"/>
        <v>0</v>
      </c>
      <c r="H35" s="20">
        <v>0</v>
      </c>
      <c r="I35" s="20">
        <f t="shared" si="2"/>
        <v>0</v>
      </c>
      <c r="J35" s="20">
        <v>0</v>
      </c>
      <c r="K35" s="20">
        <f t="shared" si="3"/>
        <v>0</v>
      </c>
      <c r="L35" s="20">
        <v>12.27</v>
      </c>
      <c r="M35" s="20">
        <f t="shared" si="4"/>
        <v>39.290993999999998</v>
      </c>
      <c r="N35" s="20">
        <v>0</v>
      </c>
      <c r="O35" s="20">
        <f t="shared" si="5"/>
        <v>0</v>
      </c>
      <c r="P35" s="20">
        <f t="shared" si="6"/>
        <v>51.560993999999994</v>
      </c>
    </row>
    <row r="36" spans="1:16">
      <c r="A36" s="19">
        <v>70037</v>
      </c>
      <c r="B36" s="20" t="s">
        <v>1923</v>
      </c>
      <c r="C36" s="20">
        <v>45.269999999999996</v>
      </c>
      <c r="D36" s="20">
        <v>0</v>
      </c>
      <c r="E36" s="20">
        <f t="shared" si="0"/>
        <v>0</v>
      </c>
      <c r="F36" s="20">
        <v>2</v>
      </c>
      <c r="G36" s="20">
        <f t="shared" si="1"/>
        <v>1.4748000000000001</v>
      </c>
      <c r="H36" s="20">
        <v>0</v>
      </c>
      <c r="I36" s="20">
        <f t="shared" si="2"/>
        <v>0</v>
      </c>
      <c r="J36" s="20">
        <v>0</v>
      </c>
      <c r="K36" s="20">
        <f t="shared" si="3"/>
        <v>0</v>
      </c>
      <c r="L36" s="20">
        <v>30.43</v>
      </c>
      <c r="M36" s="20">
        <f t="shared" si="4"/>
        <v>97.442945999999992</v>
      </c>
      <c r="N36" s="20">
        <v>12.84</v>
      </c>
      <c r="O36" s="20">
        <f t="shared" si="5"/>
        <v>60.611220000000003</v>
      </c>
      <c r="P36" s="20">
        <f t="shared" si="6"/>
        <v>204.79896600000001</v>
      </c>
    </row>
    <row r="37" spans="1:16">
      <c r="A37" s="19">
        <v>70615</v>
      </c>
      <c r="B37" s="20" t="s">
        <v>1922</v>
      </c>
      <c r="C37" s="20">
        <v>21.509999999999998</v>
      </c>
      <c r="D37" s="20">
        <v>0</v>
      </c>
      <c r="E37" s="20">
        <f t="shared" si="0"/>
        <v>0</v>
      </c>
      <c r="F37" s="20">
        <v>1.0900000000000001</v>
      </c>
      <c r="G37" s="20">
        <f t="shared" si="1"/>
        <v>0.80376600000000009</v>
      </c>
      <c r="H37" s="20">
        <v>0</v>
      </c>
      <c r="I37" s="20">
        <f t="shared" si="2"/>
        <v>0</v>
      </c>
      <c r="J37" s="20">
        <v>0</v>
      </c>
      <c r="K37" s="20">
        <f t="shared" si="3"/>
        <v>0</v>
      </c>
      <c r="L37" s="20">
        <v>11.95</v>
      </c>
      <c r="M37" s="20">
        <f t="shared" si="4"/>
        <v>38.266289999999998</v>
      </c>
      <c r="N37" s="20">
        <v>8.4700000000000006</v>
      </c>
      <c r="O37" s="20">
        <f t="shared" si="5"/>
        <v>39.982635000000009</v>
      </c>
      <c r="P37" s="20">
        <f t="shared" si="6"/>
        <v>100.562691</v>
      </c>
    </row>
    <row r="38" spans="1:16">
      <c r="A38" s="19">
        <v>71076</v>
      </c>
      <c r="B38" s="20" t="s">
        <v>1921</v>
      </c>
      <c r="C38" s="20">
        <v>22.11</v>
      </c>
      <c r="D38" s="20">
        <v>0</v>
      </c>
      <c r="E38" s="20">
        <f t="shared" si="0"/>
        <v>0</v>
      </c>
      <c r="F38" s="20">
        <v>1</v>
      </c>
      <c r="G38" s="20">
        <f t="shared" si="1"/>
        <v>0.73740000000000006</v>
      </c>
      <c r="H38" s="20">
        <v>0</v>
      </c>
      <c r="I38" s="20">
        <f t="shared" si="2"/>
        <v>0</v>
      </c>
      <c r="J38" s="20">
        <v>0</v>
      </c>
      <c r="K38" s="20">
        <f t="shared" si="3"/>
        <v>0</v>
      </c>
      <c r="L38" s="20">
        <v>13.11</v>
      </c>
      <c r="M38" s="20">
        <f t="shared" si="4"/>
        <v>41.980841999999996</v>
      </c>
      <c r="N38" s="20">
        <v>8</v>
      </c>
      <c r="O38" s="20">
        <f t="shared" si="5"/>
        <v>37.764000000000003</v>
      </c>
      <c r="P38" s="20">
        <f t="shared" si="6"/>
        <v>102.592242</v>
      </c>
    </row>
    <row r="39" spans="1:16">
      <c r="A39" s="19">
        <v>71084</v>
      </c>
      <c r="B39" s="20" t="s">
        <v>1920</v>
      </c>
      <c r="C39" s="20">
        <v>4.9399999999999995</v>
      </c>
      <c r="D39" s="20">
        <v>0</v>
      </c>
      <c r="E39" s="20">
        <f t="shared" si="0"/>
        <v>0</v>
      </c>
      <c r="F39" s="20">
        <v>1.9500000000000002</v>
      </c>
      <c r="G39" s="20">
        <f t="shared" si="1"/>
        <v>1.4379300000000002</v>
      </c>
      <c r="H39" s="20">
        <v>0</v>
      </c>
      <c r="I39" s="20">
        <f t="shared" si="2"/>
        <v>0</v>
      </c>
      <c r="J39" s="20">
        <v>0</v>
      </c>
      <c r="K39" s="20">
        <f t="shared" si="3"/>
        <v>0</v>
      </c>
      <c r="L39" s="20">
        <v>2.99</v>
      </c>
      <c r="M39" s="20">
        <f t="shared" si="4"/>
        <v>9.5745780000000007</v>
      </c>
      <c r="N39" s="20">
        <v>0</v>
      </c>
      <c r="O39" s="20">
        <f t="shared" si="5"/>
        <v>0</v>
      </c>
      <c r="P39" s="20">
        <f t="shared" si="6"/>
        <v>15.952508</v>
      </c>
    </row>
    <row r="40" spans="1:16">
      <c r="A40" s="19">
        <v>71118</v>
      </c>
      <c r="B40" s="20" t="s">
        <v>1919</v>
      </c>
      <c r="C40" s="20">
        <v>3</v>
      </c>
      <c r="D40" s="20">
        <v>0</v>
      </c>
      <c r="E40" s="20">
        <f t="shared" si="0"/>
        <v>0</v>
      </c>
      <c r="F40" s="20">
        <v>1</v>
      </c>
      <c r="G40" s="20">
        <f t="shared" si="1"/>
        <v>0.73740000000000006</v>
      </c>
      <c r="H40" s="20">
        <v>0</v>
      </c>
      <c r="I40" s="20">
        <f t="shared" si="2"/>
        <v>0</v>
      </c>
      <c r="J40" s="20">
        <v>0</v>
      </c>
      <c r="K40" s="20">
        <f t="shared" si="3"/>
        <v>0</v>
      </c>
      <c r="L40" s="20">
        <v>2</v>
      </c>
      <c r="M40" s="20">
        <f t="shared" si="4"/>
        <v>6.4043999999999999</v>
      </c>
      <c r="N40" s="20">
        <v>0</v>
      </c>
      <c r="O40" s="20">
        <f t="shared" si="5"/>
        <v>0</v>
      </c>
      <c r="P40" s="20">
        <f t="shared" si="6"/>
        <v>10.1418</v>
      </c>
    </row>
    <row r="41" spans="1:16">
      <c r="A41" s="19">
        <v>71126</v>
      </c>
      <c r="B41" s="20" t="s">
        <v>1918</v>
      </c>
      <c r="C41" s="20">
        <v>12.36</v>
      </c>
      <c r="D41" s="20">
        <v>0</v>
      </c>
      <c r="E41" s="20">
        <f t="shared" si="0"/>
        <v>0</v>
      </c>
      <c r="F41" s="20">
        <v>0</v>
      </c>
      <c r="G41" s="20">
        <f t="shared" si="1"/>
        <v>0</v>
      </c>
      <c r="H41" s="20">
        <v>0</v>
      </c>
      <c r="I41" s="20">
        <f t="shared" si="2"/>
        <v>0</v>
      </c>
      <c r="J41" s="20">
        <v>0</v>
      </c>
      <c r="K41" s="20">
        <f t="shared" si="3"/>
        <v>0</v>
      </c>
      <c r="L41" s="20">
        <v>10</v>
      </c>
      <c r="M41" s="20">
        <f t="shared" si="4"/>
        <v>32.021999999999998</v>
      </c>
      <c r="N41" s="20">
        <v>2.3600000000000003</v>
      </c>
      <c r="O41" s="20">
        <f t="shared" si="5"/>
        <v>11.140380000000002</v>
      </c>
      <c r="P41" s="20">
        <f t="shared" si="6"/>
        <v>55.522379999999998</v>
      </c>
    </row>
    <row r="42" spans="1:16">
      <c r="A42" s="19">
        <v>71167</v>
      </c>
      <c r="B42" s="20" t="s">
        <v>1917</v>
      </c>
      <c r="C42" s="20">
        <v>7</v>
      </c>
      <c r="D42" s="20">
        <v>0</v>
      </c>
      <c r="E42" s="20">
        <f t="shared" si="0"/>
        <v>0</v>
      </c>
      <c r="F42" s="20">
        <v>1</v>
      </c>
      <c r="G42" s="20">
        <f t="shared" si="1"/>
        <v>0.73740000000000006</v>
      </c>
      <c r="H42" s="20">
        <v>0</v>
      </c>
      <c r="I42" s="20">
        <f t="shared" si="2"/>
        <v>0</v>
      </c>
      <c r="J42" s="20">
        <v>0</v>
      </c>
      <c r="K42" s="20">
        <f t="shared" si="3"/>
        <v>0</v>
      </c>
      <c r="L42" s="20">
        <v>3</v>
      </c>
      <c r="M42" s="20">
        <f t="shared" si="4"/>
        <v>9.6066000000000003</v>
      </c>
      <c r="N42" s="20">
        <v>3</v>
      </c>
      <c r="O42" s="20">
        <f t="shared" si="5"/>
        <v>14.1615</v>
      </c>
      <c r="P42" s="20">
        <f t="shared" si="6"/>
        <v>31.505500000000001</v>
      </c>
    </row>
    <row r="43" spans="1:16">
      <c r="A43" s="19">
        <v>71191</v>
      </c>
      <c r="B43" s="20" t="s">
        <v>1916</v>
      </c>
      <c r="C43" s="20">
        <v>26.19</v>
      </c>
      <c r="D43" s="20">
        <v>0</v>
      </c>
      <c r="E43" s="20">
        <f t="shared" si="0"/>
        <v>0</v>
      </c>
      <c r="F43" s="20">
        <v>0</v>
      </c>
      <c r="G43" s="20">
        <f t="shared" si="1"/>
        <v>0</v>
      </c>
      <c r="H43" s="20">
        <v>0</v>
      </c>
      <c r="I43" s="20">
        <f t="shared" si="2"/>
        <v>0</v>
      </c>
      <c r="J43" s="20">
        <v>0</v>
      </c>
      <c r="K43" s="20">
        <f t="shared" si="3"/>
        <v>0</v>
      </c>
      <c r="L43" s="20">
        <v>18.190000000000001</v>
      </c>
      <c r="M43" s="20">
        <f t="shared" si="4"/>
        <v>58.248018000000002</v>
      </c>
      <c r="N43" s="20">
        <v>8</v>
      </c>
      <c r="O43" s="20">
        <f t="shared" si="5"/>
        <v>37.764000000000003</v>
      </c>
      <c r="P43" s="20">
        <f t="shared" si="6"/>
        <v>122.20201800000001</v>
      </c>
    </row>
    <row r="44" spans="1:16">
      <c r="A44" s="19">
        <v>71472</v>
      </c>
      <c r="B44" s="20" t="s">
        <v>1915</v>
      </c>
      <c r="C44" s="20">
        <v>61.379999999999995</v>
      </c>
      <c r="D44" s="20">
        <v>0</v>
      </c>
      <c r="E44" s="20">
        <f t="shared" si="0"/>
        <v>0</v>
      </c>
      <c r="F44" s="20">
        <v>0</v>
      </c>
      <c r="G44" s="20">
        <f t="shared" si="1"/>
        <v>0</v>
      </c>
      <c r="H44" s="20">
        <v>1</v>
      </c>
      <c r="I44" s="20">
        <f t="shared" si="2"/>
        <v>1.7716000000000001</v>
      </c>
      <c r="J44" s="20">
        <v>1</v>
      </c>
      <c r="K44" s="20">
        <f t="shared" si="3"/>
        <v>2.3645999999999998</v>
      </c>
      <c r="L44" s="20">
        <v>34.519999999999996</v>
      </c>
      <c r="M44" s="20">
        <f t="shared" si="4"/>
        <v>110.53994399999999</v>
      </c>
      <c r="N44" s="20">
        <v>24.86</v>
      </c>
      <c r="O44" s="20">
        <f t="shared" si="5"/>
        <v>117.35163</v>
      </c>
      <c r="P44" s="20">
        <f t="shared" si="6"/>
        <v>293.40777400000002</v>
      </c>
    </row>
    <row r="45" spans="1:16">
      <c r="A45" s="19">
        <v>78048</v>
      </c>
      <c r="B45" s="20" t="s">
        <v>1914</v>
      </c>
      <c r="C45" s="20">
        <v>26.14</v>
      </c>
      <c r="D45" s="20">
        <v>0</v>
      </c>
      <c r="E45" s="20">
        <f t="shared" si="0"/>
        <v>0</v>
      </c>
      <c r="F45" s="20">
        <v>1.96</v>
      </c>
      <c r="G45" s="20">
        <f t="shared" si="1"/>
        <v>1.4453040000000001</v>
      </c>
      <c r="H45" s="20">
        <v>0</v>
      </c>
      <c r="I45" s="20">
        <f t="shared" si="2"/>
        <v>0</v>
      </c>
      <c r="J45" s="20">
        <v>0</v>
      </c>
      <c r="K45" s="20">
        <f t="shared" si="3"/>
        <v>0</v>
      </c>
      <c r="L45" s="20">
        <v>13.450000000000001</v>
      </c>
      <c r="M45" s="20">
        <f t="shared" si="4"/>
        <v>43.069590000000005</v>
      </c>
      <c r="N45" s="20">
        <v>10.729999999999999</v>
      </c>
      <c r="O45" s="20">
        <f t="shared" si="5"/>
        <v>50.650964999999999</v>
      </c>
      <c r="P45" s="20">
        <f t="shared" si="6"/>
        <v>121.30585900000001</v>
      </c>
    </row>
    <row r="46" spans="1:16">
      <c r="A46" s="19">
        <v>78063</v>
      </c>
      <c r="B46" s="20" t="s">
        <v>1913</v>
      </c>
      <c r="C46" s="20">
        <v>69.25</v>
      </c>
      <c r="D46" s="20">
        <v>0</v>
      </c>
      <c r="E46" s="20">
        <f t="shared" si="0"/>
        <v>0</v>
      </c>
      <c r="F46" s="20">
        <v>0</v>
      </c>
      <c r="G46" s="20">
        <f t="shared" si="1"/>
        <v>0</v>
      </c>
      <c r="H46" s="20">
        <v>0</v>
      </c>
      <c r="I46" s="20">
        <f t="shared" si="2"/>
        <v>0</v>
      </c>
      <c r="J46" s="20">
        <v>1</v>
      </c>
      <c r="K46" s="20">
        <f t="shared" si="3"/>
        <v>2.3645999999999998</v>
      </c>
      <c r="L46" s="20">
        <v>35.879999999999995</v>
      </c>
      <c r="M46" s="20">
        <f t="shared" si="4"/>
        <v>114.89493599999999</v>
      </c>
      <c r="N46" s="20">
        <v>32.370000000000005</v>
      </c>
      <c r="O46" s="20">
        <f t="shared" si="5"/>
        <v>152.80258500000002</v>
      </c>
      <c r="P46" s="20">
        <f t="shared" si="6"/>
        <v>339.31212099999999</v>
      </c>
    </row>
    <row r="47" spans="1:16">
      <c r="A47" s="19">
        <v>85662</v>
      </c>
      <c r="B47" s="20" t="s">
        <v>1912</v>
      </c>
      <c r="C47" s="20">
        <v>12.510000000000002</v>
      </c>
      <c r="D47" s="20">
        <v>0</v>
      </c>
      <c r="E47" s="20">
        <f t="shared" si="0"/>
        <v>0</v>
      </c>
      <c r="F47" s="20">
        <v>0</v>
      </c>
      <c r="G47" s="20">
        <f t="shared" si="1"/>
        <v>0</v>
      </c>
      <c r="H47" s="20">
        <v>0</v>
      </c>
      <c r="I47" s="20">
        <f t="shared" si="2"/>
        <v>0</v>
      </c>
      <c r="J47" s="20">
        <v>0</v>
      </c>
      <c r="K47" s="20">
        <f t="shared" si="3"/>
        <v>0</v>
      </c>
      <c r="L47" s="20">
        <v>4.75</v>
      </c>
      <c r="M47" s="20">
        <f t="shared" si="4"/>
        <v>15.21045</v>
      </c>
      <c r="N47" s="20">
        <v>7.76</v>
      </c>
      <c r="O47" s="20">
        <f t="shared" si="5"/>
        <v>36.631080000000004</v>
      </c>
      <c r="P47" s="20">
        <f t="shared" si="6"/>
        <v>64.351529999999997</v>
      </c>
    </row>
    <row r="49" spans="1:16">
      <c r="B49" s="17" t="s">
        <v>1911</v>
      </c>
      <c r="C49" s="16">
        <f t="shared" ref="C49:P49" si="7">SUM(C2:C47)</f>
        <v>1911.6300000000006</v>
      </c>
      <c r="D49" s="16">
        <f t="shared" si="7"/>
        <v>1</v>
      </c>
      <c r="E49" s="16">
        <f t="shared" si="7"/>
        <v>0.29060000000000002</v>
      </c>
      <c r="F49" s="16">
        <f t="shared" si="7"/>
        <v>39.940000000000005</v>
      </c>
      <c r="G49" s="16">
        <f t="shared" si="7"/>
        <v>29.451756000000007</v>
      </c>
      <c r="H49" s="16">
        <f t="shared" si="7"/>
        <v>6</v>
      </c>
      <c r="I49" s="16">
        <f t="shared" si="7"/>
        <v>10.6296</v>
      </c>
      <c r="J49" s="16">
        <f t="shared" si="7"/>
        <v>6.48</v>
      </c>
      <c r="K49" s="16">
        <f t="shared" si="7"/>
        <v>15.322607999999997</v>
      </c>
      <c r="L49" s="16">
        <f t="shared" si="7"/>
        <v>1281.4900000000002</v>
      </c>
      <c r="M49" s="16">
        <f t="shared" si="7"/>
        <v>4103.5872780000009</v>
      </c>
      <c r="N49" s="16">
        <f t="shared" si="7"/>
        <v>576.72</v>
      </c>
      <c r="O49" s="16">
        <f t="shared" si="7"/>
        <v>2722.4067599999998</v>
      </c>
      <c r="P49" s="16">
        <f t="shared" si="7"/>
        <v>8793.318602000003</v>
      </c>
    </row>
    <row r="52" spans="1:16" ht="80">
      <c r="A52" s="1" t="s">
        <v>2</v>
      </c>
      <c r="B52" s="1" t="s">
        <v>0</v>
      </c>
      <c r="C52" s="1" t="s">
        <v>1</v>
      </c>
      <c r="D52" s="1" t="s">
        <v>1910</v>
      </c>
      <c r="E52" s="1" t="s">
        <v>1896</v>
      </c>
      <c r="F52" s="1" t="s">
        <v>1893</v>
      </c>
      <c r="G52" s="1" t="s">
        <v>1894</v>
      </c>
    </row>
    <row r="53" spans="1:16">
      <c r="A53" s="19">
        <v>65821</v>
      </c>
      <c r="B53" s="20" t="s">
        <v>1957</v>
      </c>
      <c r="C53" s="19" t="s">
        <v>1973</v>
      </c>
      <c r="D53" s="19">
        <v>1</v>
      </c>
      <c r="E53" s="19" t="s">
        <v>1974</v>
      </c>
      <c r="F53" s="20">
        <v>32.82</v>
      </c>
      <c r="G53" s="19">
        <v>135.86535599999999</v>
      </c>
    </row>
    <row r="54" spans="1:16">
      <c r="A54" s="19">
        <v>65839</v>
      </c>
      <c r="B54" s="20" t="s">
        <v>1956</v>
      </c>
      <c r="C54" s="19" t="s">
        <v>1973</v>
      </c>
      <c r="D54" s="19">
        <v>1</v>
      </c>
      <c r="E54" s="19" t="s">
        <v>1974</v>
      </c>
      <c r="F54" s="20">
        <v>34.22</v>
      </c>
      <c r="G54" s="19">
        <v>163.53718400000002</v>
      </c>
    </row>
    <row r="55" spans="1:16">
      <c r="A55" s="19">
        <v>65854</v>
      </c>
      <c r="B55" s="20" t="s">
        <v>1955</v>
      </c>
      <c r="C55" s="19" t="s">
        <v>1973</v>
      </c>
      <c r="D55" s="19">
        <v>1</v>
      </c>
      <c r="E55" s="19" t="s">
        <v>1974</v>
      </c>
      <c r="F55" s="20">
        <v>6.47</v>
      </c>
      <c r="G55" s="19">
        <v>27.188233999999998</v>
      </c>
    </row>
    <row r="56" spans="1:16">
      <c r="A56" s="19">
        <v>65912</v>
      </c>
      <c r="B56" s="20" t="s">
        <v>1954</v>
      </c>
      <c r="C56" s="19" t="s">
        <v>1973</v>
      </c>
      <c r="D56" s="19">
        <v>1</v>
      </c>
      <c r="E56" s="19" t="s">
        <v>1974</v>
      </c>
      <c r="F56" s="20">
        <v>39.79</v>
      </c>
      <c r="G56" s="19">
        <v>174.83743299999998</v>
      </c>
    </row>
    <row r="57" spans="1:16">
      <c r="A57" s="19">
        <v>65920</v>
      </c>
      <c r="B57" s="20" t="s">
        <v>1953</v>
      </c>
      <c r="C57" s="19" t="s">
        <v>1973</v>
      </c>
      <c r="D57" s="19">
        <v>1</v>
      </c>
      <c r="E57" s="19" t="s">
        <v>1974</v>
      </c>
      <c r="F57" s="20">
        <v>47.91</v>
      </c>
      <c r="G57" s="19">
        <v>225.59475300000003</v>
      </c>
    </row>
    <row r="58" spans="1:16">
      <c r="A58" s="19">
        <v>65938</v>
      </c>
      <c r="B58" s="20" t="s">
        <v>1952</v>
      </c>
      <c r="C58" s="19" t="s">
        <v>1973</v>
      </c>
      <c r="D58" s="19">
        <v>1</v>
      </c>
      <c r="E58" s="19" t="s">
        <v>1974</v>
      </c>
      <c r="F58" s="20">
        <v>11.870000000000001</v>
      </c>
      <c r="G58" s="19">
        <v>51.398414000000002</v>
      </c>
    </row>
    <row r="59" spans="1:16">
      <c r="A59" s="19">
        <v>65946</v>
      </c>
      <c r="B59" s="20" t="s">
        <v>1951</v>
      </c>
      <c r="C59" s="19" t="s">
        <v>1973</v>
      </c>
      <c r="D59" s="19">
        <v>1</v>
      </c>
      <c r="E59" s="19" t="s">
        <v>1974</v>
      </c>
      <c r="F59" s="20">
        <v>35.590000000000003</v>
      </c>
      <c r="G59" s="19">
        <v>177.47783500000003</v>
      </c>
    </row>
    <row r="60" spans="1:16">
      <c r="A60" s="19">
        <v>65979</v>
      </c>
      <c r="B60" s="20" t="s">
        <v>1950</v>
      </c>
      <c r="C60" s="19" t="s">
        <v>1973</v>
      </c>
      <c r="D60" s="19">
        <v>1</v>
      </c>
      <c r="E60" s="19" t="s">
        <v>1974</v>
      </c>
      <c r="F60" s="20">
        <v>150.99</v>
      </c>
      <c r="G60" s="19">
        <v>685.18621499999995</v>
      </c>
    </row>
    <row r="61" spans="1:16">
      <c r="A61" s="19">
        <v>65995</v>
      </c>
      <c r="B61" s="20" t="s">
        <v>1949</v>
      </c>
      <c r="C61" s="19" t="s">
        <v>1973</v>
      </c>
      <c r="D61" s="19">
        <v>1</v>
      </c>
      <c r="E61" s="19" t="s">
        <v>1974</v>
      </c>
      <c r="F61" s="20">
        <v>75.010000000000005</v>
      </c>
      <c r="G61" s="19">
        <v>354.18871899999999</v>
      </c>
    </row>
    <row r="62" spans="1:16">
      <c r="A62" s="19">
        <v>66019</v>
      </c>
      <c r="B62" s="20" t="s">
        <v>1948</v>
      </c>
      <c r="C62" s="19" t="s">
        <v>1973</v>
      </c>
      <c r="D62" s="19">
        <v>1</v>
      </c>
      <c r="E62" s="19" t="s">
        <v>1974</v>
      </c>
      <c r="F62" s="20">
        <v>14.96</v>
      </c>
      <c r="G62" s="19">
        <v>67.237616000000003</v>
      </c>
    </row>
    <row r="63" spans="1:16">
      <c r="A63" s="19">
        <v>66027</v>
      </c>
      <c r="B63" s="20" t="s">
        <v>1947</v>
      </c>
      <c r="C63" s="19" t="s">
        <v>1973</v>
      </c>
      <c r="D63" s="19">
        <v>1</v>
      </c>
      <c r="E63" s="19" t="s">
        <v>1974</v>
      </c>
      <c r="F63" s="20">
        <v>13.24</v>
      </c>
      <c r="G63" s="19">
        <v>55.535342</v>
      </c>
    </row>
    <row r="64" spans="1:16">
      <c r="A64" s="19">
        <v>66043</v>
      </c>
      <c r="B64" s="20" t="s">
        <v>1946</v>
      </c>
      <c r="C64" s="19" t="s">
        <v>1973</v>
      </c>
      <c r="D64" s="19">
        <v>1</v>
      </c>
      <c r="E64" s="19" t="s">
        <v>1974</v>
      </c>
      <c r="F64" s="20">
        <v>36.31</v>
      </c>
      <c r="G64" s="19">
        <v>156.299182</v>
      </c>
    </row>
    <row r="65" spans="1:7">
      <c r="A65" s="19">
        <v>66050</v>
      </c>
      <c r="B65" s="20" t="s">
        <v>1945</v>
      </c>
      <c r="C65" s="19" t="s">
        <v>1973</v>
      </c>
      <c r="D65" s="19">
        <v>1</v>
      </c>
      <c r="E65" s="19" t="s">
        <v>1974</v>
      </c>
      <c r="F65" s="20">
        <v>51.22</v>
      </c>
      <c r="G65" s="19">
        <v>259.66214200000002</v>
      </c>
    </row>
    <row r="66" spans="1:7">
      <c r="A66" s="19">
        <v>66068</v>
      </c>
      <c r="B66" s="20" t="s">
        <v>1944</v>
      </c>
      <c r="C66" s="19" t="s">
        <v>1973</v>
      </c>
      <c r="D66" s="19">
        <v>1</v>
      </c>
      <c r="E66" s="19" t="s">
        <v>1974</v>
      </c>
      <c r="F66" s="20">
        <v>63.73</v>
      </c>
      <c r="G66" s="19">
        <v>315.65847400000001</v>
      </c>
    </row>
    <row r="67" spans="1:7">
      <c r="A67" s="19">
        <v>66092</v>
      </c>
      <c r="B67" s="20" t="s">
        <v>1943</v>
      </c>
      <c r="C67" s="19" t="s">
        <v>1973</v>
      </c>
      <c r="D67" s="19">
        <v>1</v>
      </c>
      <c r="E67" s="19" t="s">
        <v>1974</v>
      </c>
      <c r="F67" s="20">
        <v>138.81</v>
      </c>
      <c r="G67" s="19">
        <v>619.20486900000003</v>
      </c>
    </row>
    <row r="68" spans="1:7">
      <c r="A68" s="19">
        <v>66100</v>
      </c>
      <c r="B68" s="20" t="s">
        <v>1942</v>
      </c>
      <c r="C68" s="19" t="s">
        <v>1973</v>
      </c>
      <c r="D68" s="19">
        <v>1</v>
      </c>
      <c r="E68" s="19" t="s">
        <v>1974</v>
      </c>
      <c r="F68" s="20">
        <v>15.39</v>
      </c>
      <c r="G68" s="19">
        <v>64.587953999999996</v>
      </c>
    </row>
    <row r="69" spans="1:7">
      <c r="A69" s="19">
        <v>66118</v>
      </c>
      <c r="B69" s="20" t="s">
        <v>1941</v>
      </c>
      <c r="C69" s="19" t="s">
        <v>1973</v>
      </c>
      <c r="D69" s="19">
        <v>1</v>
      </c>
      <c r="E69" s="19" t="s">
        <v>1974</v>
      </c>
      <c r="F69" s="20">
        <v>67.919999999999987</v>
      </c>
      <c r="G69" s="19">
        <v>313.66898700000002</v>
      </c>
    </row>
    <row r="70" spans="1:7">
      <c r="A70" s="19">
        <v>66134</v>
      </c>
      <c r="B70" s="20" t="s">
        <v>1940</v>
      </c>
      <c r="C70" s="19" t="s">
        <v>1973</v>
      </c>
      <c r="D70" s="19">
        <v>1</v>
      </c>
      <c r="E70" s="19" t="s">
        <v>1974</v>
      </c>
      <c r="F70" s="20">
        <v>32.36</v>
      </c>
      <c r="G70" s="19">
        <v>155.597093</v>
      </c>
    </row>
    <row r="71" spans="1:7">
      <c r="A71" s="19">
        <v>66142</v>
      </c>
      <c r="B71" s="20" t="s">
        <v>1939</v>
      </c>
      <c r="C71" s="19" t="s">
        <v>1973</v>
      </c>
      <c r="D71" s="19">
        <v>1</v>
      </c>
      <c r="E71" s="19" t="s">
        <v>1974</v>
      </c>
      <c r="F71" s="20">
        <v>17.03</v>
      </c>
      <c r="G71" s="19">
        <v>70.123768999999996</v>
      </c>
    </row>
    <row r="72" spans="1:7">
      <c r="A72" s="19">
        <v>66191</v>
      </c>
      <c r="B72" s="20" t="s">
        <v>1938</v>
      </c>
      <c r="C72" s="19" t="s">
        <v>1973</v>
      </c>
      <c r="D72" s="19">
        <v>1</v>
      </c>
      <c r="E72" s="19" t="s">
        <v>1974</v>
      </c>
      <c r="F72" s="20">
        <v>6</v>
      </c>
      <c r="G72" s="19">
        <v>29.7681</v>
      </c>
    </row>
    <row r="73" spans="1:7">
      <c r="A73" s="19">
        <v>66225</v>
      </c>
      <c r="B73" s="20" t="s">
        <v>1937</v>
      </c>
      <c r="C73" s="19" t="s">
        <v>1973</v>
      </c>
      <c r="D73" s="19">
        <v>1</v>
      </c>
      <c r="E73" s="19" t="s">
        <v>1974</v>
      </c>
      <c r="F73" s="20">
        <v>95.320000000000007</v>
      </c>
      <c r="G73" s="19">
        <v>462.22025400000007</v>
      </c>
    </row>
    <row r="74" spans="1:7">
      <c r="A74" s="19">
        <v>66233</v>
      </c>
      <c r="B74" s="20" t="s">
        <v>1936</v>
      </c>
      <c r="C74" s="19" t="s">
        <v>1973</v>
      </c>
      <c r="D74" s="19">
        <v>1</v>
      </c>
      <c r="E74" s="19" t="s">
        <v>1974</v>
      </c>
      <c r="F74" s="20">
        <v>21.659999999999997</v>
      </c>
      <c r="G74" s="19">
        <v>94.800218999999984</v>
      </c>
    </row>
    <row r="75" spans="1:7">
      <c r="A75" s="19">
        <v>66241</v>
      </c>
      <c r="B75" s="20" t="s">
        <v>1935</v>
      </c>
      <c r="C75" s="19" t="s">
        <v>1973</v>
      </c>
      <c r="D75" s="19">
        <v>1</v>
      </c>
      <c r="E75" s="19" t="s">
        <v>1974</v>
      </c>
      <c r="F75" s="20">
        <v>50.55</v>
      </c>
      <c r="G75" s="19">
        <v>227.60420999999999</v>
      </c>
    </row>
    <row r="76" spans="1:7">
      <c r="A76" s="19">
        <v>66266</v>
      </c>
      <c r="B76" s="20" t="s">
        <v>1934</v>
      </c>
      <c r="C76" s="19" t="s">
        <v>1973</v>
      </c>
      <c r="D76" s="19">
        <v>1</v>
      </c>
      <c r="E76" s="19" t="s">
        <v>1974</v>
      </c>
      <c r="F76" s="20">
        <v>105.47</v>
      </c>
      <c r="G76" s="19">
        <v>474.94337899999994</v>
      </c>
    </row>
    <row r="77" spans="1:7">
      <c r="A77" s="19">
        <v>66274</v>
      </c>
      <c r="B77" s="20" t="s">
        <v>1933</v>
      </c>
      <c r="C77" s="19" t="s">
        <v>1973</v>
      </c>
      <c r="D77" s="19">
        <v>1</v>
      </c>
      <c r="E77" s="19" t="s">
        <v>1974</v>
      </c>
      <c r="F77" s="20">
        <v>40.900000000000006</v>
      </c>
      <c r="G77" s="19">
        <v>189.80258000000003</v>
      </c>
    </row>
    <row r="78" spans="1:7">
      <c r="A78" s="19">
        <v>66290</v>
      </c>
      <c r="B78" s="20" t="s">
        <v>1932</v>
      </c>
      <c r="C78" s="19" t="s">
        <v>1973</v>
      </c>
      <c r="D78" s="19">
        <v>1</v>
      </c>
      <c r="E78" s="19" t="s">
        <v>1974</v>
      </c>
      <c r="F78" s="20">
        <v>6</v>
      </c>
      <c r="G78" s="19">
        <v>25.213200000000001</v>
      </c>
    </row>
    <row r="79" spans="1:7">
      <c r="A79" s="19">
        <v>66308</v>
      </c>
      <c r="B79" s="20" t="s">
        <v>1931</v>
      </c>
      <c r="C79" s="19" t="s">
        <v>1973</v>
      </c>
      <c r="D79" s="19">
        <v>1</v>
      </c>
      <c r="E79" s="19" t="s">
        <v>1974</v>
      </c>
      <c r="F79" s="20">
        <v>25.72</v>
      </c>
      <c r="G79" s="19">
        <v>110.73760899999999</v>
      </c>
    </row>
    <row r="80" spans="1:7">
      <c r="A80" s="19">
        <v>66324</v>
      </c>
      <c r="B80" s="20" t="s">
        <v>1930</v>
      </c>
      <c r="C80" s="19" t="s">
        <v>1973</v>
      </c>
      <c r="D80" s="19">
        <v>1</v>
      </c>
      <c r="E80" s="19" t="s">
        <v>1974</v>
      </c>
      <c r="F80" s="20">
        <v>113.7</v>
      </c>
      <c r="G80" s="19">
        <v>533.89132500000005</v>
      </c>
    </row>
    <row r="81" spans="1:7">
      <c r="A81" s="19">
        <v>66357</v>
      </c>
      <c r="B81" s="20" t="s">
        <v>1929</v>
      </c>
      <c r="C81" s="19" t="s">
        <v>1973</v>
      </c>
      <c r="D81" s="19">
        <v>1</v>
      </c>
      <c r="E81" s="19" t="s">
        <v>1974</v>
      </c>
      <c r="F81" s="20">
        <v>44.21</v>
      </c>
      <c r="G81" s="19">
        <v>196.40736200000001</v>
      </c>
    </row>
    <row r="82" spans="1:7">
      <c r="A82" s="19">
        <v>67231</v>
      </c>
      <c r="B82" s="20" t="s">
        <v>1928</v>
      </c>
      <c r="C82" s="19" t="s">
        <v>1973</v>
      </c>
      <c r="D82" s="19">
        <v>1</v>
      </c>
      <c r="E82" s="19" t="s">
        <v>1974</v>
      </c>
      <c r="F82" s="20">
        <v>70.17</v>
      </c>
      <c r="G82" s="19">
        <v>333.29401200000001</v>
      </c>
    </row>
    <row r="83" spans="1:7">
      <c r="A83" s="19">
        <v>68890</v>
      </c>
      <c r="B83" s="20" t="s">
        <v>1927</v>
      </c>
      <c r="C83" s="19" t="s">
        <v>1973</v>
      </c>
      <c r="D83" s="19">
        <v>1</v>
      </c>
      <c r="E83" s="19" t="s">
        <v>1974</v>
      </c>
      <c r="F83" s="20">
        <v>25.400000000000002</v>
      </c>
      <c r="G83" s="19">
        <v>114.722138</v>
      </c>
    </row>
    <row r="84" spans="1:7">
      <c r="A84" s="19">
        <v>69229</v>
      </c>
      <c r="B84" s="20" t="s">
        <v>1926</v>
      </c>
      <c r="C84" s="19" t="s">
        <v>1973</v>
      </c>
      <c r="D84" s="19">
        <v>1</v>
      </c>
      <c r="E84" s="19" t="s">
        <v>1974</v>
      </c>
      <c r="F84" s="20">
        <v>60.44</v>
      </c>
      <c r="G84" s="19">
        <v>253.98096799999999</v>
      </c>
    </row>
    <row r="85" spans="1:7">
      <c r="A85" s="19">
        <v>69625</v>
      </c>
      <c r="B85" s="20" t="s">
        <v>1925</v>
      </c>
      <c r="C85" s="19" t="s">
        <v>1973</v>
      </c>
      <c r="D85" s="19">
        <v>1</v>
      </c>
      <c r="E85" s="19" t="s">
        <v>1974</v>
      </c>
      <c r="F85" s="20">
        <v>36.519999999999996</v>
      </c>
      <c r="G85" s="19">
        <v>159.86729199999999</v>
      </c>
    </row>
    <row r="86" spans="1:7">
      <c r="A86" s="19">
        <v>69773</v>
      </c>
      <c r="B86" s="20" t="s">
        <v>1924</v>
      </c>
      <c r="C86" s="19" t="s">
        <v>1973</v>
      </c>
      <c r="D86" s="19">
        <v>1</v>
      </c>
      <c r="E86" s="19" t="s">
        <v>1974</v>
      </c>
      <c r="F86" s="20">
        <v>12.27</v>
      </c>
      <c r="G86" s="19">
        <v>51.560993999999994</v>
      </c>
    </row>
    <row r="87" spans="1:7">
      <c r="A87" s="19">
        <v>70037</v>
      </c>
      <c r="B87" s="20" t="s">
        <v>1923</v>
      </c>
      <c r="C87" s="19" t="s">
        <v>1973</v>
      </c>
      <c r="D87" s="19">
        <v>1</v>
      </c>
      <c r="E87" s="19" t="s">
        <v>1974</v>
      </c>
      <c r="F87" s="20">
        <v>45.269999999999996</v>
      </c>
      <c r="G87" s="19">
        <v>204.79896600000001</v>
      </c>
    </row>
    <row r="88" spans="1:7">
      <c r="A88" s="19">
        <v>70615</v>
      </c>
      <c r="B88" s="20" t="s">
        <v>1922</v>
      </c>
      <c r="C88" s="19" t="s">
        <v>1973</v>
      </c>
      <c r="D88" s="19">
        <v>1</v>
      </c>
      <c r="E88" s="19" t="s">
        <v>1974</v>
      </c>
      <c r="F88" s="20">
        <v>21.509999999999998</v>
      </c>
      <c r="G88" s="19">
        <v>100.562691</v>
      </c>
    </row>
    <row r="89" spans="1:7">
      <c r="A89" s="19">
        <v>71076</v>
      </c>
      <c r="B89" s="20" t="s">
        <v>1921</v>
      </c>
      <c r="C89" s="19" t="s">
        <v>1973</v>
      </c>
      <c r="D89" s="19">
        <v>1</v>
      </c>
      <c r="E89" s="19" t="s">
        <v>1974</v>
      </c>
      <c r="F89" s="20">
        <v>22.11</v>
      </c>
      <c r="G89" s="19">
        <v>102.592242</v>
      </c>
    </row>
    <row r="90" spans="1:7">
      <c r="A90" s="19">
        <v>71084</v>
      </c>
      <c r="B90" s="20" t="s">
        <v>1920</v>
      </c>
      <c r="C90" s="19" t="s">
        <v>1973</v>
      </c>
      <c r="D90" s="19">
        <v>1</v>
      </c>
      <c r="E90" s="19" t="s">
        <v>1974</v>
      </c>
      <c r="F90" s="20">
        <v>4.9399999999999995</v>
      </c>
      <c r="G90" s="19">
        <v>15.952508</v>
      </c>
    </row>
    <row r="91" spans="1:7">
      <c r="A91" s="19">
        <v>71118</v>
      </c>
      <c r="B91" s="20" t="s">
        <v>1919</v>
      </c>
      <c r="C91" s="19" t="s">
        <v>1973</v>
      </c>
      <c r="D91" s="19">
        <v>1</v>
      </c>
      <c r="E91" s="19" t="s">
        <v>1974</v>
      </c>
      <c r="F91" s="20">
        <v>3</v>
      </c>
      <c r="G91" s="19">
        <v>10.1418</v>
      </c>
    </row>
    <row r="92" spans="1:7">
      <c r="A92" s="19">
        <v>71126</v>
      </c>
      <c r="B92" s="20" t="s">
        <v>1918</v>
      </c>
      <c r="C92" s="19" t="s">
        <v>1973</v>
      </c>
      <c r="D92" s="19">
        <v>1</v>
      </c>
      <c r="E92" s="19" t="s">
        <v>1974</v>
      </c>
      <c r="F92" s="20">
        <v>12.36</v>
      </c>
      <c r="G92" s="19">
        <v>55.522379999999998</v>
      </c>
    </row>
    <row r="93" spans="1:7">
      <c r="A93" s="19">
        <v>71167</v>
      </c>
      <c r="B93" s="20" t="s">
        <v>1917</v>
      </c>
      <c r="C93" s="19" t="s">
        <v>1973</v>
      </c>
      <c r="D93" s="19">
        <v>1</v>
      </c>
      <c r="E93" s="19" t="s">
        <v>1974</v>
      </c>
      <c r="F93" s="20">
        <v>7</v>
      </c>
      <c r="G93" s="19">
        <v>31.505500000000001</v>
      </c>
    </row>
    <row r="94" spans="1:7">
      <c r="A94" s="19">
        <v>71191</v>
      </c>
      <c r="B94" s="20" t="s">
        <v>1916</v>
      </c>
      <c r="C94" s="19" t="s">
        <v>1973</v>
      </c>
      <c r="D94" s="19">
        <v>1</v>
      </c>
      <c r="E94" s="19" t="s">
        <v>1974</v>
      </c>
      <c r="F94" s="20">
        <v>26.19</v>
      </c>
      <c r="G94" s="19">
        <v>122.20201800000001</v>
      </c>
    </row>
    <row r="95" spans="1:7">
      <c r="A95" s="19">
        <v>71472</v>
      </c>
      <c r="B95" s="20" t="s">
        <v>1915</v>
      </c>
      <c r="C95" s="19" t="s">
        <v>1973</v>
      </c>
      <c r="D95" s="19">
        <v>1</v>
      </c>
      <c r="E95" s="19" t="s">
        <v>1974</v>
      </c>
      <c r="F95" s="20">
        <v>61.379999999999995</v>
      </c>
      <c r="G95" s="19">
        <v>293.40777400000002</v>
      </c>
    </row>
    <row r="96" spans="1:7">
      <c r="A96" s="19">
        <v>78048</v>
      </c>
      <c r="B96" s="20" t="s">
        <v>1914</v>
      </c>
      <c r="C96" s="19" t="s">
        <v>1973</v>
      </c>
      <c r="D96" s="19">
        <v>1</v>
      </c>
      <c r="E96" s="19" t="s">
        <v>1974</v>
      </c>
      <c r="F96" s="20">
        <v>26.14</v>
      </c>
      <c r="G96" s="19">
        <v>121.30585900000001</v>
      </c>
    </row>
    <row r="97" spans="1:7">
      <c r="A97" s="19">
        <v>78063</v>
      </c>
      <c r="B97" s="20" t="s">
        <v>1913</v>
      </c>
      <c r="C97" s="19" t="s">
        <v>1973</v>
      </c>
      <c r="D97" s="19">
        <v>1</v>
      </c>
      <c r="E97" s="19" t="s">
        <v>1974</v>
      </c>
      <c r="F97" s="20">
        <v>69.25</v>
      </c>
      <c r="G97" s="19">
        <v>339.31212099999999</v>
      </c>
    </row>
    <row r="98" spans="1:7">
      <c r="A98" s="19">
        <v>85662</v>
      </c>
      <c r="B98" s="20" t="s">
        <v>1912</v>
      </c>
      <c r="C98" s="19" t="s">
        <v>1973</v>
      </c>
      <c r="D98" s="19">
        <v>1</v>
      </c>
      <c r="E98" s="19" t="s">
        <v>1974</v>
      </c>
      <c r="F98" s="20">
        <v>12.510000000000002</v>
      </c>
      <c r="G98" s="19">
        <v>64.351529999999997</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3D1552-8074-4CB5-9C53-82E3165E7278}">
  <dimension ref="A4:S32"/>
  <sheetViews>
    <sheetView workbookViewId="0">
      <selection activeCell="A19" sqref="A19:H32"/>
    </sheetView>
  </sheetViews>
  <sheetFormatPr baseColWidth="10" defaultColWidth="8.796875" defaultRowHeight="15"/>
  <cols>
    <col min="1" max="1" width="28.59765625" style="53" bestFit="1" customWidth="1"/>
    <col min="2" max="2" width="15.59765625" style="53" bestFit="1" customWidth="1"/>
    <col min="3" max="3" width="6.59765625" style="53" customWidth="1"/>
    <col min="4" max="4" width="9.19921875" style="53" customWidth="1"/>
    <col min="5" max="5" width="6.59765625" style="53" customWidth="1"/>
    <col min="6" max="6" width="10.3984375" style="53" customWidth="1"/>
    <col min="7" max="7" width="6.59765625" style="53" customWidth="1"/>
    <col min="8" max="8" width="9.19921875" style="53" customWidth="1"/>
    <col min="9" max="9" width="6.59765625" style="53" customWidth="1"/>
    <col min="10" max="10" width="3.59765625" style="53" customWidth="1"/>
    <col min="11" max="11" width="6.59765625" style="53" customWidth="1"/>
    <col min="12" max="12" width="9.19921875" style="53" customWidth="1"/>
    <col min="13" max="13" width="6.59765625" style="53" customWidth="1"/>
    <col min="14" max="14" width="9.19921875" style="53" customWidth="1"/>
    <col min="15" max="15" width="5.19921875" style="53" customWidth="1"/>
    <col min="16" max="16" width="9.19921875" style="53" customWidth="1"/>
    <col min="17" max="18" width="7.19921875" style="53" customWidth="1"/>
    <col min="19" max="19" width="18.19921875" style="53" bestFit="1" customWidth="1"/>
    <col min="20" max="16384" width="8.796875" style="53"/>
  </cols>
  <sheetData>
    <row r="4" spans="1:19">
      <c r="A4" s="53" t="s">
        <v>1898</v>
      </c>
      <c r="B4" s="53" t="s">
        <v>1971</v>
      </c>
      <c r="C4" s="53" t="s">
        <v>1970</v>
      </c>
      <c r="D4" s="53" t="s">
        <v>1969</v>
      </c>
      <c r="E4" s="53" t="s">
        <v>1968</v>
      </c>
      <c r="F4" s="53" t="s">
        <v>1967</v>
      </c>
      <c r="G4" s="53" t="s">
        <v>1966</v>
      </c>
      <c r="H4" s="53" t="s">
        <v>1965</v>
      </c>
      <c r="I4" s="53" t="s">
        <v>1964</v>
      </c>
      <c r="J4" s="53" t="s">
        <v>1963</v>
      </c>
      <c r="K4" s="53" t="s">
        <v>1962</v>
      </c>
      <c r="L4" s="53" t="s">
        <v>1961</v>
      </c>
      <c r="M4" s="53" t="s">
        <v>1960</v>
      </c>
      <c r="N4" s="53" t="s">
        <v>1959</v>
      </c>
      <c r="O4" s="53" t="s">
        <v>3258</v>
      </c>
      <c r="P4" s="53" t="s">
        <v>3257</v>
      </c>
      <c r="Q4" s="53" t="s">
        <v>3256</v>
      </c>
      <c r="R4" s="53" t="s">
        <v>3255</v>
      </c>
      <c r="S4" s="53" t="s">
        <v>3254</v>
      </c>
    </row>
    <row r="5" spans="1:19">
      <c r="A5" s="53" t="s">
        <v>3253</v>
      </c>
      <c r="B5" s="54">
        <v>135.21</v>
      </c>
      <c r="C5" s="54">
        <v>4.59</v>
      </c>
      <c r="D5" s="54">
        <f t="shared" ref="D5:D14" si="0">C5*0.2906</f>
        <v>1.3338540000000001</v>
      </c>
      <c r="E5" s="54">
        <v>13.98</v>
      </c>
      <c r="F5" s="54">
        <f t="shared" ref="F5:F14" si="1">E5*0.7374</f>
        <v>10.308852000000002</v>
      </c>
      <c r="G5" s="54">
        <v>1.39</v>
      </c>
      <c r="H5" s="54">
        <f t="shared" ref="H5:H14" si="2">G5*1.7716</f>
        <v>2.4625239999999997</v>
      </c>
      <c r="I5" s="54">
        <v>0</v>
      </c>
      <c r="J5" s="54">
        <f t="shared" ref="J5:J14" si="3">I5*2.3646</f>
        <v>0</v>
      </c>
      <c r="K5" s="54">
        <v>1</v>
      </c>
      <c r="L5" s="54">
        <f t="shared" ref="L5:L14" si="4">K5*3.2022</f>
        <v>3.2021999999999999</v>
      </c>
      <c r="M5" s="54">
        <v>0</v>
      </c>
      <c r="N5" s="54">
        <f t="shared" ref="N5:N14" si="5">M5*4.7205</f>
        <v>0</v>
      </c>
      <c r="O5" s="54">
        <v>0</v>
      </c>
      <c r="P5" s="54">
        <f t="shared" ref="P5:P14" si="6">O5*0.2906</f>
        <v>0</v>
      </c>
      <c r="Q5" s="54">
        <v>97.01</v>
      </c>
      <c r="R5" s="54">
        <f t="shared" ref="R5:R14" si="7">Q5*0.1</f>
        <v>9.7010000000000005</v>
      </c>
      <c r="S5" s="54">
        <f t="shared" ref="S5:S16" si="8">B5+D5+F5+H5+J5+L5+N5+P5+R5</f>
        <v>162.21843000000001</v>
      </c>
    </row>
    <row r="6" spans="1:19">
      <c r="A6" s="53" t="s">
        <v>3230</v>
      </c>
      <c r="B6" s="54">
        <v>42.57</v>
      </c>
      <c r="C6" s="54">
        <v>0</v>
      </c>
      <c r="D6" s="54">
        <f t="shared" si="0"/>
        <v>0</v>
      </c>
      <c r="E6" s="54">
        <v>0.31</v>
      </c>
      <c r="F6" s="54">
        <f t="shared" si="1"/>
        <v>0.22859400000000002</v>
      </c>
      <c r="G6" s="54">
        <v>0.1</v>
      </c>
      <c r="H6" s="54">
        <f t="shared" si="2"/>
        <v>0.17716000000000001</v>
      </c>
      <c r="I6" s="54">
        <v>0</v>
      </c>
      <c r="J6" s="54">
        <f t="shared" si="3"/>
        <v>0</v>
      </c>
      <c r="K6" s="54">
        <v>0</v>
      </c>
      <c r="L6" s="54">
        <f t="shared" si="4"/>
        <v>0</v>
      </c>
      <c r="M6" s="54">
        <v>0</v>
      </c>
      <c r="N6" s="54">
        <f t="shared" si="5"/>
        <v>0</v>
      </c>
      <c r="O6" s="54">
        <v>0</v>
      </c>
      <c r="P6" s="54">
        <f t="shared" si="6"/>
        <v>0</v>
      </c>
      <c r="Q6" s="54">
        <v>42.57</v>
      </c>
      <c r="R6" s="54">
        <f t="shared" si="7"/>
        <v>4.2570000000000006</v>
      </c>
      <c r="S6" s="54">
        <f t="shared" si="8"/>
        <v>47.232754</v>
      </c>
    </row>
    <row r="7" spans="1:19">
      <c r="A7" s="53" t="s">
        <v>3252</v>
      </c>
      <c r="B7" s="54">
        <v>41.6</v>
      </c>
      <c r="C7" s="54">
        <v>0.86</v>
      </c>
      <c r="D7" s="54">
        <f t="shared" si="0"/>
        <v>0.24991600000000003</v>
      </c>
      <c r="E7" s="54">
        <v>1.42</v>
      </c>
      <c r="F7" s="54">
        <f t="shared" si="1"/>
        <v>1.0471079999999999</v>
      </c>
      <c r="G7" s="54">
        <v>0</v>
      </c>
      <c r="H7" s="54">
        <f t="shared" si="2"/>
        <v>0</v>
      </c>
      <c r="I7" s="54">
        <v>0</v>
      </c>
      <c r="J7" s="54">
        <f t="shared" si="3"/>
        <v>0</v>
      </c>
      <c r="K7" s="54">
        <v>0</v>
      </c>
      <c r="L7" s="54">
        <f t="shared" si="4"/>
        <v>0</v>
      </c>
      <c r="M7" s="54">
        <v>1</v>
      </c>
      <c r="N7" s="54">
        <f t="shared" si="5"/>
        <v>4.7205000000000004</v>
      </c>
      <c r="O7" s="54">
        <v>2.57</v>
      </c>
      <c r="P7" s="54">
        <f t="shared" si="6"/>
        <v>0.74684200000000001</v>
      </c>
      <c r="Q7" s="54">
        <v>37.929999999999993</v>
      </c>
      <c r="R7" s="54">
        <f t="shared" si="7"/>
        <v>3.7929999999999993</v>
      </c>
      <c r="S7" s="54">
        <f t="shared" si="8"/>
        <v>52.157366000000003</v>
      </c>
    </row>
    <row r="8" spans="1:19">
      <c r="A8" s="53" t="s">
        <v>3251</v>
      </c>
      <c r="B8" s="54">
        <v>245.24999999999997</v>
      </c>
      <c r="C8" s="54">
        <v>3.16</v>
      </c>
      <c r="D8" s="54">
        <f t="shared" si="0"/>
        <v>0.91829600000000011</v>
      </c>
      <c r="E8" s="54">
        <v>25.17</v>
      </c>
      <c r="F8" s="54">
        <f t="shared" si="1"/>
        <v>18.560358000000004</v>
      </c>
      <c r="G8" s="54">
        <v>2.54</v>
      </c>
      <c r="H8" s="54">
        <f t="shared" si="2"/>
        <v>4.4998640000000005</v>
      </c>
      <c r="I8" s="54">
        <v>0</v>
      </c>
      <c r="J8" s="54">
        <f t="shared" si="3"/>
        <v>0</v>
      </c>
      <c r="K8" s="54">
        <v>0</v>
      </c>
      <c r="L8" s="54">
        <f t="shared" si="4"/>
        <v>0</v>
      </c>
      <c r="M8" s="54">
        <v>2.48</v>
      </c>
      <c r="N8" s="54">
        <f t="shared" si="5"/>
        <v>11.706840000000001</v>
      </c>
      <c r="O8" s="54">
        <v>0</v>
      </c>
      <c r="P8" s="54">
        <f t="shared" si="6"/>
        <v>0</v>
      </c>
      <c r="Q8" s="54">
        <v>212.44</v>
      </c>
      <c r="R8" s="54">
        <f t="shared" si="7"/>
        <v>21.244</v>
      </c>
      <c r="S8" s="54">
        <f t="shared" si="8"/>
        <v>302.17935799999998</v>
      </c>
    </row>
    <row r="9" spans="1:19">
      <c r="A9" s="53" t="s">
        <v>3236</v>
      </c>
      <c r="B9" s="54">
        <v>99.210000000000008</v>
      </c>
      <c r="C9" s="54">
        <v>3.15</v>
      </c>
      <c r="D9" s="54">
        <f t="shared" si="0"/>
        <v>0.91539000000000004</v>
      </c>
      <c r="E9" s="54">
        <v>10.6</v>
      </c>
      <c r="F9" s="54">
        <f t="shared" si="1"/>
        <v>7.8164400000000001</v>
      </c>
      <c r="G9" s="54">
        <v>0.9</v>
      </c>
      <c r="H9" s="54">
        <f t="shared" si="2"/>
        <v>1.5944400000000001</v>
      </c>
      <c r="I9" s="54">
        <v>0</v>
      </c>
      <c r="J9" s="54">
        <f t="shared" si="3"/>
        <v>0</v>
      </c>
      <c r="K9" s="54">
        <v>0.22</v>
      </c>
      <c r="L9" s="54">
        <f t="shared" si="4"/>
        <v>0.704484</v>
      </c>
      <c r="M9" s="54">
        <v>1.22</v>
      </c>
      <c r="N9" s="54">
        <f t="shared" si="5"/>
        <v>5.75901</v>
      </c>
      <c r="O9" s="54">
        <v>0</v>
      </c>
      <c r="P9" s="54">
        <f t="shared" si="6"/>
        <v>0</v>
      </c>
      <c r="Q9" s="54">
        <v>63.31</v>
      </c>
      <c r="R9" s="54">
        <f t="shared" si="7"/>
        <v>6.3310000000000004</v>
      </c>
      <c r="S9" s="54">
        <f t="shared" si="8"/>
        <v>122.33076400000002</v>
      </c>
    </row>
    <row r="10" spans="1:19">
      <c r="A10" s="53" t="s">
        <v>3250</v>
      </c>
      <c r="B10" s="54">
        <v>104.6</v>
      </c>
      <c r="C10" s="54">
        <v>0.94</v>
      </c>
      <c r="D10" s="54">
        <f t="shared" si="0"/>
        <v>0.27316400000000002</v>
      </c>
      <c r="E10" s="54">
        <v>1.79</v>
      </c>
      <c r="F10" s="54">
        <f t="shared" si="1"/>
        <v>1.3199460000000001</v>
      </c>
      <c r="G10" s="54">
        <v>2.56</v>
      </c>
      <c r="H10" s="54">
        <f t="shared" si="2"/>
        <v>4.5352960000000007</v>
      </c>
      <c r="I10" s="54">
        <v>0</v>
      </c>
      <c r="J10" s="54">
        <f t="shared" si="3"/>
        <v>0</v>
      </c>
      <c r="K10" s="54">
        <v>0</v>
      </c>
      <c r="L10" s="54">
        <f t="shared" si="4"/>
        <v>0</v>
      </c>
      <c r="M10" s="54">
        <v>0</v>
      </c>
      <c r="N10" s="54">
        <f t="shared" si="5"/>
        <v>0</v>
      </c>
      <c r="O10" s="54">
        <v>3.12</v>
      </c>
      <c r="P10" s="54">
        <f t="shared" si="6"/>
        <v>0.90667200000000014</v>
      </c>
      <c r="Q10" s="54">
        <v>89.59</v>
      </c>
      <c r="R10" s="54">
        <f t="shared" si="7"/>
        <v>8.9590000000000014</v>
      </c>
      <c r="S10" s="54">
        <f t="shared" si="8"/>
        <v>120.594078</v>
      </c>
    </row>
    <row r="11" spans="1:19">
      <c r="A11" s="53" t="s">
        <v>3239</v>
      </c>
      <c r="B11" s="54">
        <v>244.83000000000007</v>
      </c>
      <c r="C11" s="54">
        <v>0</v>
      </c>
      <c r="D11" s="54">
        <f t="shared" si="0"/>
        <v>0</v>
      </c>
      <c r="E11" s="54">
        <v>36.28</v>
      </c>
      <c r="F11" s="54">
        <f t="shared" si="1"/>
        <v>26.752872000000004</v>
      </c>
      <c r="G11" s="54">
        <v>4.8000000000000007</v>
      </c>
      <c r="H11" s="54">
        <f t="shared" si="2"/>
        <v>8.503680000000001</v>
      </c>
      <c r="I11" s="54">
        <v>0</v>
      </c>
      <c r="J11" s="54">
        <f t="shared" si="3"/>
        <v>0</v>
      </c>
      <c r="K11" s="54">
        <v>0</v>
      </c>
      <c r="L11" s="54">
        <f t="shared" si="4"/>
        <v>0</v>
      </c>
      <c r="M11" s="54">
        <v>1.45</v>
      </c>
      <c r="N11" s="54">
        <f t="shared" si="5"/>
        <v>6.8447250000000004</v>
      </c>
      <c r="O11" s="54">
        <v>0</v>
      </c>
      <c r="P11" s="54">
        <f t="shared" si="6"/>
        <v>0</v>
      </c>
      <c r="Q11" s="54">
        <v>168.0100000000001</v>
      </c>
      <c r="R11" s="54">
        <f t="shared" si="7"/>
        <v>16.801000000000013</v>
      </c>
      <c r="S11" s="54">
        <f t="shared" si="8"/>
        <v>303.73227700000001</v>
      </c>
    </row>
    <row r="12" spans="1:19">
      <c r="A12" s="53" t="s">
        <v>3241</v>
      </c>
      <c r="B12" s="54">
        <v>44.650000000000006</v>
      </c>
      <c r="C12" s="54">
        <v>0</v>
      </c>
      <c r="D12" s="54">
        <f t="shared" si="0"/>
        <v>0</v>
      </c>
      <c r="E12" s="54">
        <v>0.57999999999999996</v>
      </c>
      <c r="F12" s="54">
        <f t="shared" si="1"/>
        <v>0.42769200000000002</v>
      </c>
      <c r="G12" s="54">
        <v>1.37</v>
      </c>
      <c r="H12" s="54">
        <f t="shared" si="2"/>
        <v>2.4270920000000005</v>
      </c>
      <c r="I12" s="54">
        <v>0</v>
      </c>
      <c r="J12" s="54">
        <f t="shared" si="3"/>
        <v>0</v>
      </c>
      <c r="K12" s="54">
        <v>0</v>
      </c>
      <c r="L12" s="54">
        <f t="shared" si="4"/>
        <v>0</v>
      </c>
      <c r="M12" s="54">
        <v>0</v>
      </c>
      <c r="N12" s="54">
        <f t="shared" si="5"/>
        <v>0</v>
      </c>
      <c r="O12" s="54">
        <v>0</v>
      </c>
      <c r="P12" s="54">
        <f t="shared" si="6"/>
        <v>0</v>
      </c>
      <c r="Q12" s="54">
        <v>44.650000000000006</v>
      </c>
      <c r="R12" s="54">
        <f t="shared" si="7"/>
        <v>4.4650000000000007</v>
      </c>
      <c r="S12" s="54">
        <f t="shared" si="8"/>
        <v>51.969784000000011</v>
      </c>
    </row>
    <row r="13" spans="1:19">
      <c r="A13" s="53" t="s">
        <v>3243</v>
      </c>
      <c r="B13" s="54">
        <v>146.51</v>
      </c>
      <c r="C13" s="54">
        <v>0.56999999999999995</v>
      </c>
      <c r="D13" s="54">
        <f t="shared" si="0"/>
        <v>0.16564200000000001</v>
      </c>
      <c r="E13" s="54">
        <v>4.42</v>
      </c>
      <c r="F13" s="54">
        <f t="shared" si="1"/>
        <v>3.2593080000000003</v>
      </c>
      <c r="G13" s="54">
        <v>1.78</v>
      </c>
      <c r="H13" s="54">
        <f t="shared" si="2"/>
        <v>3.153448</v>
      </c>
      <c r="I13" s="54">
        <v>0</v>
      </c>
      <c r="J13" s="54">
        <f t="shared" si="3"/>
        <v>0</v>
      </c>
      <c r="K13" s="54">
        <v>0</v>
      </c>
      <c r="L13" s="54">
        <f t="shared" si="4"/>
        <v>0</v>
      </c>
      <c r="M13" s="54">
        <v>0</v>
      </c>
      <c r="N13" s="54">
        <f t="shared" si="5"/>
        <v>0</v>
      </c>
      <c r="O13" s="54">
        <v>0</v>
      </c>
      <c r="P13" s="54">
        <f t="shared" si="6"/>
        <v>0</v>
      </c>
      <c r="Q13" s="54">
        <v>133.63999999999999</v>
      </c>
      <c r="R13" s="54">
        <f t="shared" si="7"/>
        <v>13.363999999999999</v>
      </c>
      <c r="S13" s="54">
        <f t="shared" si="8"/>
        <v>166.45239799999999</v>
      </c>
    </row>
    <row r="14" spans="1:19">
      <c r="A14" s="53" t="s">
        <v>3245</v>
      </c>
      <c r="B14" s="54">
        <v>19.37</v>
      </c>
      <c r="C14" s="54">
        <v>0</v>
      </c>
      <c r="D14" s="54">
        <f t="shared" si="0"/>
        <v>0</v>
      </c>
      <c r="E14" s="54">
        <v>0</v>
      </c>
      <c r="F14" s="54">
        <f t="shared" si="1"/>
        <v>0</v>
      </c>
      <c r="G14" s="54">
        <v>0.14000000000000001</v>
      </c>
      <c r="H14" s="54">
        <f t="shared" si="2"/>
        <v>0.24802400000000002</v>
      </c>
      <c r="I14" s="54">
        <v>0</v>
      </c>
      <c r="J14" s="54">
        <f t="shared" si="3"/>
        <v>0</v>
      </c>
      <c r="K14" s="54">
        <v>0</v>
      </c>
      <c r="L14" s="54">
        <f t="shared" si="4"/>
        <v>0</v>
      </c>
      <c r="M14" s="54">
        <v>0</v>
      </c>
      <c r="N14" s="54">
        <f t="shared" si="5"/>
        <v>0</v>
      </c>
      <c r="O14" s="54">
        <v>0</v>
      </c>
      <c r="P14" s="54">
        <f t="shared" si="6"/>
        <v>0</v>
      </c>
      <c r="Q14" s="54">
        <v>8.69</v>
      </c>
      <c r="R14" s="54">
        <f t="shared" si="7"/>
        <v>0.86899999999999999</v>
      </c>
      <c r="S14" s="54">
        <f t="shared" si="8"/>
        <v>20.487024000000002</v>
      </c>
    </row>
    <row r="15" spans="1:19">
      <c r="A15" s="55" t="s">
        <v>3261</v>
      </c>
      <c r="B15">
        <f>6-1</f>
        <v>5</v>
      </c>
      <c r="C15">
        <v>0</v>
      </c>
      <c r="D15" s="54">
        <f t="shared" ref="D15:D16" si="9">C15*0.2906</f>
        <v>0</v>
      </c>
      <c r="E15">
        <v>0</v>
      </c>
      <c r="F15" s="54">
        <f t="shared" ref="F15:F16" si="10">E15*0.7374</f>
        <v>0</v>
      </c>
      <c r="G15">
        <v>0</v>
      </c>
      <c r="H15" s="54">
        <f t="shared" ref="H15:H16" si="11">G15*1.7716</f>
        <v>0</v>
      </c>
      <c r="I15">
        <v>0</v>
      </c>
      <c r="J15" s="54">
        <f t="shared" ref="J15:J16" si="12">I15*2.3646</f>
        <v>0</v>
      </c>
      <c r="K15">
        <v>0</v>
      </c>
      <c r="L15" s="54">
        <f t="shared" ref="L15:L16" si="13">K15*3.2022</f>
        <v>0</v>
      </c>
      <c r="M15">
        <v>0</v>
      </c>
      <c r="N15" s="54">
        <f t="shared" ref="N15:N16" si="14">M15*4.7205</f>
        <v>0</v>
      </c>
      <c r="O15">
        <v>0</v>
      </c>
      <c r="P15" s="54">
        <f t="shared" ref="P15:P16" si="15">O15*0.2906</f>
        <v>0</v>
      </c>
      <c r="Q15">
        <v>0</v>
      </c>
      <c r="R15" s="54">
        <f t="shared" ref="R15:R16" si="16">Q15*0.1</f>
        <v>0</v>
      </c>
      <c r="S15" s="54">
        <f t="shared" si="8"/>
        <v>5</v>
      </c>
    </row>
    <row r="16" spans="1:19">
      <c r="A16" s="55" t="s">
        <v>3262</v>
      </c>
      <c r="B16" s="57">
        <f>98.08+14.94-7</f>
        <v>106.02</v>
      </c>
      <c r="C16">
        <v>4.1399999999999997</v>
      </c>
      <c r="D16" s="54">
        <f t="shared" si="9"/>
        <v>1.203084</v>
      </c>
      <c r="E16">
        <v>7.76</v>
      </c>
      <c r="F16" s="54">
        <f t="shared" si="10"/>
        <v>5.7222240000000006</v>
      </c>
      <c r="G16">
        <v>0</v>
      </c>
      <c r="H16" s="54">
        <f t="shared" si="11"/>
        <v>0</v>
      </c>
      <c r="I16">
        <v>1</v>
      </c>
      <c r="J16" s="54">
        <f t="shared" si="12"/>
        <v>2.3645999999999998</v>
      </c>
      <c r="K16">
        <v>0</v>
      </c>
      <c r="L16" s="54">
        <f t="shared" si="13"/>
        <v>0</v>
      </c>
      <c r="M16">
        <v>0.53</v>
      </c>
      <c r="N16" s="54">
        <f t="shared" si="14"/>
        <v>2.5018650000000004</v>
      </c>
      <c r="O16">
        <v>0</v>
      </c>
      <c r="P16" s="54">
        <f t="shared" si="15"/>
        <v>0</v>
      </c>
      <c r="Q16">
        <v>61.02</v>
      </c>
      <c r="R16" s="54">
        <f t="shared" si="16"/>
        <v>6.1020000000000003</v>
      </c>
      <c r="S16" s="56">
        <f t="shared" si="8"/>
        <v>123.91377299999999</v>
      </c>
    </row>
    <row r="19" spans="1:8">
      <c r="A19" s="53">
        <v>17643</v>
      </c>
      <c r="B19" s="53" t="s">
        <v>3239</v>
      </c>
      <c r="C19" s="53" t="s">
        <v>1684</v>
      </c>
      <c r="D19" s="53">
        <v>1</v>
      </c>
      <c r="E19" s="53" t="s">
        <v>3267</v>
      </c>
      <c r="F19" s="53">
        <v>244.83000000000007</v>
      </c>
      <c r="G19" s="53">
        <v>5777.9880000000021</v>
      </c>
      <c r="H19" s="53">
        <v>303.73227700000001</v>
      </c>
    </row>
    <row r="20" spans="1:8">
      <c r="A20" s="53" t="s">
        <v>425</v>
      </c>
      <c r="B20" s="53" t="s">
        <v>426</v>
      </c>
      <c r="C20" s="53" t="s">
        <v>1684</v>
      </c>
      <c r="D20" s="53">
        <v>1</v>
      </c>
      <c r="E20" s="53" t="s">
        <v>3267</v>
      </c>
      <c r="F20" s="53">
        <v>1939.906804</v>
      </c>
      <c r="G20" s="53">
        <v>45781.800574399997</v>
      </c>
      <c r="H20" s="53">
        <v>2536.1471705846702</v>
      </c>
    </row>
    <row r="21" spans="1:8">
      <c r="A21" s="53" t="s">
        <v>14</v>
      </c>
      <c r="B21" s="53" t="s">
        <v>15</v>
      </c>
      <c r="C21" s="53" t="s">
        <v>1684</v>
      </c>
      <c r="D21" s="53">
        <v>1</v>
      </c>
      <c r="E21" s="53" t="s">
        <v>3267</v>
      </c>
      <c r="F21" s="53">
        <v>83.133036000000004</v>
      </c>
      <c r="G21" s="53">
        <v>1961.9396496000002</v>
      </c>
      <c r="H21" s="53">
        <v>101.024303429032</v>
      </c>
    </row>
    <row r="22" spans="1:8">
      <c r="A22" s="53" t="s">
        <v>48</v>
      </c>
      <c r="B22" s="53" t="s">
        <v>1765</v>
      </c>
      <c r="C22" s="53" t="s">
        <v>1684</v>
      </c>
      <c r="D22" s="53">
        <v>1</v>
      </c>
      <c r="E22" s="53" t="s">
        <v>3267</v>
      </c>
      <c r="F22" s="53">
        <v>573.87287500000002</v>
      </c>
      <c r="G22" s="53">
        <v>13543.399850000002</v>
      </c>
      <c r="H22" s="53">
        <v>822.98659654627897</v>
      </c>
    </row>
    <row r="23" spans="1:8">
      <c r="A23" s="53" t="s">
        <v>445</v>
      </c>
      <c r="B23" s="53" t="s">
        <v>446</v>
      </c>
      <c r="C23" s="53" t="s">
        <v>1684</v>
      </c>
      <c r="D23" s="53">
        <v>1</v>
      </c>
      <c r="E23" s="53" t="s">
        <v>3267</v>
      </c>
      <c r="F23" s="53">
        <v>145.31485599999999</v>
      </c>
      <c r="G23" s="53">
        <v>3429.4306015999996</v>
      </c>
      <c r="H23" s="53">
        <v>188.03688671210301</v>
      </c>
    </row>
    <row r="24" spans="1:8">
      <c r="A24" s="53" t="s">
        <v>46</v>
      </c>
      <c r="B24" s="53" t="s">
        <v>47</v>
      </c>
      <c r="C24" s="53" t="s">
        <v>1684</v>
      </c>
      <c r="D24" s="53">
        <v>1</v>
      </c>
      <c r="E24" s="53" t="s">
        <v>3267</v>
      </c>
      <c r="F24" s="53">
        <v>127.4224</v>
      </c>
      <c r="G24" s="53">
        <v>3007.1686399999999</v>
      </c>
      <c r="H24" s="53">
        <v>158.73874106417199</v>
      </c>
    </row>
    <row r="25" spans="1:8">
      <c r="A25" s="53" t="s">
        <v>443</v>
      </c>
      <c r="B25" s="53" t="s">
        <v>444</v>
      </c>
      <c r="C25" s="53" t="s">
        <v>1684</v>
      </c>
      <c r="D25" s="53">
        <v>1</v>
      </c>
      <c r="E25" s="53" t="s">
        <v>3267</v>
      </c>
      <c r="F25" s="53">
        <v>649.99051599999996</v>
      </c>
      <c r="G25" s="53">
        <v>15339.776177600001</v>
      </c>
      <c r="H25" s="53">
        <v>907.240210401784</v>
      </c>
    </row>
    <row r="26" spans="1:8">
      <c r="A26" s="53" t="s">
        <v>1823</v>
      </c>
      <c r="B26" s="53" t="s">
        <v>1824</v>
      </c>
      <c r="C26" s="53" t="s">
        <v>1684</v>
      </c>
      <c r="D26" s="53">
        <v>1</v>
      </c>
      <c r="E26" s="53" t="s">
        <v>3267</v>
      </c>
      <c r="F26" s="53">
        <v>553.92903000000001</v>
      </c>
      <c r="G26" s="53">
        <v>13072.725108000001</v>
      </c>
      <c r="H26" s="53">
        <v>694.29434732537004</v>
      </c>
    </row>
    <row r="27" spans="1:8">
      <c r="A27" s="53" t="s">
        <v>12</v>
      </c>
      <c r="B27" s="53" t="s">
        <v>13</v>
      </c>
      <c r="C27" s="53" t="s">
        <v>1684</v>
      </c>
      <c r="D27" s="53">
        <v>1</v>
      </c>
      <c r="E27" s="53" t="s">
        <v>3267</v>
      </c>
      <c r="F27" s="53">
        <v>403.81119799999999</v>
      </c>
      <c r="G27" s="53">
        <v>9529.9442727999995</v>
      </c>
      <c r="H27" s="53">
        <v>493.54612648635202</v>
      </c>
    </row>
    <row r="28" spans="1:8">
      <c r="A28" s="53" t="s">
        <v>441</v>
      </c>
      <c r="B28" s="53" t="s">
        <v>442</v>
      </c>
      <c r="C28" s="53" t="s">
        <v>1684</v>
      </c>
      <c r="D28" s="53">
        <v>1</v>
      </c>
      <c r="E28" s="53" t="s">
        <v>3267</v>
      </c>
      <c r="F28" s="53">
        <v>89.750996000000001</v>
      </c>
      <c r="G28" s="53">
        <v>2118.1235056</v>
      </c>
      <c r="H28" s="53">
        <v>118.59807215324599</v>
      </c>
    </row>
    <row r="29" spans="1:8">
      <c r="A29" s="53" t="s">
        <v>8</v>
      </c>
      <c r="B29" s="53" t="s">
        <v>9</v>
      </c>
      <c r="C29" s="53" t="s">
        <v>1684</v>
      </c>
      <c r="D29" s="53">
        <v>1</v>
      </c>
      <c r="E29" s="53" t="s">
        <v>3267</v>
      </c>
      <c r="F29" s="53">
        <v>4362.2184969999998</v>
      </c>
      <c r="G29" s="53">
        <v>102948.3565292</v>
      </c>
      <c r="H29" s="53">
        <v>5339.6462558406101</v>
      </c>
    </row>
    <row r="30" spans="1:8">
      <c r="A30" s="53" t="s">
        <v>410</v>
      </c>
      <c r="B30" s="53" t="s">
        <v>411</v>
      </c>
      <c r="C30" s="53" t="s">
        <v>1684</v>
      </c>
      <c r="D30" s="53">
        <v>1</v>
      </c>
      <c r="E30" s="53" t="s">
        <v>3267</v>
      </c>
      <c r="F30" s="53">
        <v>12701.670185000001</v>
      </c>
      <c r="G30" s="53">
        <v>299759.41636600002</v>
      </c>
      <c r="H30" s="53">
        <v>16570.397078547001</v>
      </c>
    </row>
    <row r="31" spans="1:8">
      <c r="A31" s="53" t="s">
        <v>10</v>
      </c>
      <c r="B31" s="53" t="s">
        <v>11</v>
      </c>
      <c r="C31" s="53" t="s">
        <v>1684</v>
      </c>
      <c r="D31" s="53">
        <v>1</v>
      </c>
      <c r="E31" s="53" t="s">
        <v>3267</v>
      </c>
      <c r="F31" s="53">
        <v>475.110613</v>
      </c>
      <c r="G31" s="53">
        <v>11212.610466800001</v>
      </c>
      <c r="H31" s="53">
        <v>559.33920457434294</v>
      </c>
    </row>
    <row r="32" spans="1:8">
      <c r="A32" s="53" t="s">
        <v>422</v>
      </c>
      <c r="B32" s="53" t="s">
        <v>1841</v>
      </c>
      <c r="C32" s="53" t="s">
        <v>1684</v>
      </c>
      <c r="D32" s="53">
        <v>1</v>
      </c>
      <c r="E32" s="53" t="s">
        <v>3267</v>
      </c>
      <c r="F32" s="53">
        <v>1823.264326</v>
      </c>
      <c r="G32" s="53">
        <v>43029.0380936</v>
      </c>
      <c r="H32" s="53">
        <v>2341.6061009405398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96BB58-BF42-498C-A71F-ED5BA04A02A2}">
  <dimension ref="A2:L763"/>
  <sheetViews>
    <sheetView topLeftCell="B1" workbookViewId="0">
      <selection activeCell="D3" sqref="D3"/>
    </sheetView>
  </sheetViews>
  <sheetFormatPr baseColWidth="10" defaultColWidth="8.796875" defaultRowHeight="15"/>
  <cols>
    <col min="1" max="1" width="13.59765625" style="33" hidden="1" customWidth="1"/>
    <col min="2" max="2" width="8.796875" style="33"/>
    <col min="3" max="3" width="54.59765625" style="33" bestFit="1" customWidth="1"/>
    <col min="4" max="4" width="12.796875" style="48" customWidth="1"/>
    <col min="5" max="5" width="9.19921875" style="48" customWidth="1"/>
    <col min="6" max="6" width="12.3984375" style="48" customWidth="1"/>
    <col min="7" max="7" width="9.796875" style="48" customWidth="1"/>
    <col min="8" max="8" width="16.19921875" style="48" customWidth="1"/>
    <col min="9" max="9" width="7.3984375" style="48" customWidth="1"/>
    <col min="10" max="10" width="11.3984375" style="48" customWidth="1"/>
    <col min="11" max="11" width="11.3984375" style="48" bestFit="1" customWidth="1"/>
    <col min="12" max="12" width="30.796875" style="33" bestFit="1" customWidth="1"/>
    <col min="13" max="13" width="21.796875" style="33" customWidth="1"/>
    <col min="14" max="16384" width="8.796875" style="33"/>
  </cols>
  <sheetData>
    <row r="2" spans="1:12" ht="49" thickBot="1">
      <c r="A2" s="31" t="s">
        <v>3219</v>
      </c>
      <c r="B2" s="31" t="s">
        <v>3218</v>
      </c>
      <c r="C2" s="31" t="s">
        <v>3217</v>
      </c>
      <c r="D2" s="42" t="s">
        <v>3222</v>
      </c>
      <c r="E2" s="42" t="s">
        <v>3216</v>
      </c>
      <c r="F2" s="42" t="s">
        <v>3215</v>
      </c>
      <c r="G2" s="42" t="s">
        <v>3214</v>
      </c>
      <c r="H2" s="42" t="s">
        <v>3213</v>
      </c>
      <c r="I2" s="42" t="s">
        <v>3212</v>
      </c>
      <c r="J2" s="42" t="s">
        <v>3211</v>
      </c>
      <c r="K2" s="42" t="s">
        <v>1958</v>
      </c>
      <c r="L2" s="32" t="s">
        <v>3210</v>
      </c>
    </row>
    <row r="3" spans="1:12">
      <c r="A3" s="34" t="s">
        <v>2561</v>
      </c>
      <c r="B3" s="34" t="str">
        <f>"000601"</f>
        <v>000601</v>
      </c>
      <c r="C3" s="34" t="s">
        <v>3209</v>
      </c>
      <c r="D3" s="43">
        <v>241</v>
      </c>
      <c r="E3" s="43">
        <v>0</v>
      </c>
      <c r="F3" s="43">
        <f>'NonPublic Enrollment'!$E3*0.1</f>
        <v>0</v>
      </c>
      <c r="G3" s="43">
        <v>0</v>
      </c>
      <c r="H3" s="43">
        <f>'NonPublic Enrollment'!$G3*0.7374</f>
        <v>0</v>
      </c>
      <c r="I3" s="43">
        <v>0</v>
      </c>
      <c r="J3" s="43">
        <f>'NonPublic Enrollment'!$I3*0.2906</f>
        <v>0</v>
      </c>
      <c r="K3" s="43">
        <f>'NonPublic Enrollment'!$D3+'NonPublic Enrollment'!$F3+'NonPublic Enrollment'!$H3+'NonPublic Enrollment'!$J3</f>
        <v>241</v>
      </c>
      <c r="L3" s="35" t="s">
        <v>2582</v>
      </c>
    </row>
    <row r="4" spans="1:12">
      <c r="A4" s="36" t="s">
        <v>2561</v>
      </c>
      <c r="B4" s="36" t="str">
        <f>"000681"</f>
        <v>000681</v>
      </c>
      <c r="C4" s="36" t="s">
        <v>3208</v>
      </c>
      <c r="D4" s="44">
        <v>0</v>
      </c>
      <c r="E4" s="44">
        <v>0</v>
      </c>
      <c r="F4" s="44">
        <f>'NonPublic Enrollment'!$E4*0.1</f>
        <v>0</v>
      </c>
      <c r="G4" s="44">
        <v>0</v>
      </c>
      <c r="H4" s="44">
        <f>'NonPublic Enrollment'!$G4*0.7374</f>
        <v>0</v>
      </c>
      <c r="I4" s="44">
        <v>0</v>
      </c>
      <c r="J4" s="44">
        <f>'NonPublic Enrollment'!$I4*0.2906</f>
        <v>0</v>
      </c>
      <c r="K4" s="44">
        <f>'NonPublic Enrollment'!$D4+'NonPublic Enrollment'!$F4+'NonPublic Enrollment'!$H4+'NonPublic Enrollment'!$J4</f>
        <v>0</v>
      </c>
      <c r="L4" s="37" t="s">
        <v>3052</v>
      </c>
    </row>
    <row r="5" spans="1:12">
      <c r="A5" s="38" t="s">
        <v>2561</v>
      </c>
      <c r="B5" s="38" t="str">
        <f>"008070"</f>
        <v>008070</v>
      </c>
      <c r="C5" s="38" t="s">
        <v>3207</v>
      </c>
      <c r="D5" s="45">
        <v>27</v>
      </c>
      <c r="E5" s="45">
        <v>0</v>
      </c>
      <c r="F5" s="45">
        <f>'NonPublic Enrollment'!$E5*0.1</f>
        <v>0</v>
      </c>
      <c r="G5" s="45">
        <v>0</v>
      </c>
      <c r="H5" s="45">
        <f>'NonPublic Enrollment'!$G5*0.7374</f>
        <v>0</v>
      </c>
      <c r="I5" s="45">
        <v>0</v>
      </c>
      <c r="J5" s="45">
        <f>'NonPublic Enrollment'!$I5*0.2906</f>
        <v>0</v>
      </c>
      <c r="K5" s="45">
        <f>'NonPublic Enrollment'!$D5+'NonPublic Enrollment'!$F5+'NonPublic Enrollment'!$H5+'NonPublic Enrollment'!$J5</f>
        <v>27</v>
      </c>
      <c r="L5" s="39" t="s">
        <v>2569</v>
      </c>
    </row>
    <row r="6" spans="1:12">
      <c r="A6" s="36" t="s">
        <v>2561</v>
      </c>
      <c r="B6" s="36" t="str">
        <f>"008246"</f>
        <v>008246</v>
      </c>
      <c r="C6" s="36" t="s">
        <v>3206</v>
      </c>
      <c r="D6" s="44">
        <v>108</v>
      </c>
      <c r="E6" s="44">
        <v>0</v>
      </c>
      <c r="F6" s="44">
        <f>'NonPublic Enrollment'!$E6*0.1</f>
        <v>0</v>
      </c>
      <c r="G6" s="44">
        <v>0</v>
      </c>
      <c r="H6" s="44">
        <f>'NonPublic Enrollment'!$G6*0.7374</f>
        <v>0</v>
      </c>
      <c r="I6" s="44">
        <v>0</v>
      </c>
      <c r="J6" s="44">
        <f>'NonPublic Enrollment'!$I6*0.2906</f>
        <v>0</v>
      </c>
      <c r="K6" s="44">
        <f>'NonPublic Enrollment'!$D6+'NonPublic Enrollment'!$F6+'NonPublic Enrollment'!$H6+'NonPublic Enrollment'!$J6</f>
        <v>108</v>
      </c>
      <c r="L6" s="37" t="s">
        <v>2562</v>
      </c>
    </row>
    <row r="7" spans="1:12">
      <c r="A7" s="38" t="s">
        <v>2561</v>
      </c>
      <c r="B7" s="38" t="str">
        <f>"008972"</f>
        <v>008972</v>
      </c>
      <c r="C7" s="38" t="s">
        <v>3186</v>
      </c>
      <c r="D7" s="45">
        <v>12</v>
      </c>
      <c r="E7" s="45">
        <v>0</v>
      </c>
      <c r="F7" s="45">
        <f>'NonPublic Enrollment'!$E7*0.1</f>
        <v>0</v>
      </c>
      <c r="G7" s="45">
        <v>0</v>
      </c>
      <c r="H7" s="45">
        <f>'NonPublic Enrollment'!$G7*0.7374</f>
        <v>0</v>
      </c>
      <c r="I7" s="45">
        <v>0</v>
      </c>
      <c r="J7" s="45">
        <f>'NonPublic Enrollment'!$I7*0.2906</f>
        <v>0</v>
      </c>
      <c r="K7" s="45">
        <f>'NonPublic Enrollment'!$D7+'NonPublic Enrollment'!$F7+'NonPublic Enrollment'!$H7+'NonPublic Enrollment'!$J7</f>
        <v>12</v>
      </c>
      <c r="L7" s="39" t="s">
        <v>2562</v>
      </c>
    </row>
    <row r="8" spans="1:12">
      <c r="A8" s="36" t="s">
        <v>2561</v>
      </c>
      <c r="B8" s="36" t="str">
        <f>"008973"</f>
        <v>008973</v>
      </c>
      <c r="C8" s="36" t="s">
        <v>3205</v>
      </c>
      <c r="D8" s="44">
        <v>34</v>
      </c>
      <c r="E8" s="44">
        <v>0</v>
      </c>
      <c r="F8" s="44">
        <f>'NonPublic Enrollment'!$E8*0.1</f>
        <v>0</v>
      </c>
      <c r="G8" s="44">
        <v>0</v>
      </c>
      <c r="H8" s="44">
        <f>'NonPublic Enrollment'!$G8*0.7374</f>
        <v>0</v>
      </c>
      <c r="I8" s="44">
        <v>0</v>
      </c>
      <c r="J8" s="44">
        <f>'NonPublic Enrollment'!$I8*0.2906</f>
        <v>0</v>
      </c>
      <c r="K8" s="44">
        <f>'NonPublic Enrollment'!$D8+'NonPublic Enrollment'!$F8+'NonPublic Enrollment'!$H8+'NonPublic Enrollment'!$J8</f>
        <v>34</v>
      </c>
      <c r="L8" s="37" t="s">
        <v>2562</v>
      </c>
    </row>
    <row r="9" spans="1:12">
      <c r="A9" s="38" t="s">
        <v>2561</v>
      </c>
      <c r="B9" s="38" t="str">
        <f>"009124"</f>
        <v>009124</v>
      </c>
      <c r="C9" s="38" t="s">
        <v>3204</v>
      </c>
      <c r="D9" s="45">
        <v>25</v>
      </c>
      <c r="E9" s="45">
        <v>0</v>
      </c>
      <c r="F9" s="45">
        <f>'NonPublic Enrollment'!$E9*0.1</f>
        <v>0</v>
      </c>
      <c r="G9" s="45">
        <v>0</v>
      </c>
      <c r="H9" s="45">
        <f>'NonPublic Enrollment'!$G9*0.7374</f>
        <v>0</v>
      </c>
      <c r="I9" s="45">
        <v>0</v>
      </c>
      <c r="J9" s="45">
        <f>'NonPublic Enrollment'!$I9*0.2906</f>
        <v>0</v>
      </c>
      <c r="K9" s="45">
        <f>'NonPublic Enrollment'!$D9+'NonPublic Enrollment'!$F9+'NonPublic Enrollment'!$H9+'NonPublic Enrollment'!$J9</f>
        <v>25</v>
      </c>
      <c r="L9" s="39" t="s">
        <v>2562</v>
      </c>
    </row>
    <row r="10" spans="1:12">
      <c r="A10" s="36" t="s">
        <v>2561</v>
      </c>
      <c r="B10" s="36" t="str">
        <f>"009270"</f>
        <v>009270</v>
      </c>
      <c r="C10" s="36" t="s">
        <v>3203</v>
      </c>
      <c r="D10" s="44">
        <v>242</v>
      </c>
      <c r="E10" s="44">
        <v>0</v>
      </c>
      <c r="F10" s="44">
        <f>'NonPublic Enrollment'!$E10*0.1</f>
        <v>0</v>
      </c>
      <c r="G10" s="44">
        <v>0</v>
      </c>
      <c r="H10" s="44">
        <f>'NonPublic Enrollment'!$G10*0.7374</f>
        <v>0</v>
      </c>
      <c r="I10" s="44">
        <v>0</v>
      </c>
      <c r="J10" s="44">
        <f>'NonPublic Enrollment'!$I10*0.2906</f>
        <v>0</v>
      </c>
      <c r="K10" s="44">
        <f>'NonPublic Enrollment'!$D10+'NonPublic Enrollment'!$F10+'NonPublic Enrollment'!$H10+'NonPublic Enrollment'!$J10</f>
        <v>242</v>
      </c>
      <c r="L10" s="37" t="s">
        <v>2572</v>
      </c>
    </row>
    <row r="11" spans="1:12">
      <c r="A11" s="38" t="s">
        <v>2561</v>
      </c>
      <c r="B11" s="38" t="str">
        <f>"009301"</f>
        <v>009301</v>
      </c>
      <c r="C11" s="38" t="s">
        <v>2685</v>
      </c>
      <c r="D11" s="45">
        <v>0</v>
      </c>
      <c r="E11" s="45">
        <v>0</v>
      </c>
      <c r="F11" s="45">
        <f>'NonPublic Enrollment'!$E11*0.1</f>
        <v>0</v>
      </c>
      <c r="G11" s="45">
        <v>0</v>
      </c>
      <c r="H11" s="45">
        <f>'NonPublic Enrollment'!$G11*0.7374</f>
        <v>0</v>
      </c>
      <c r="I11" s="45">
        <v>0</v>
      </c>
      <c r="J11" s="45">
        <f>'NonPublic Enrollment'!$I11*0.2906</f>
        <v>0</v>
      </c>
      <c r="K11" s="45">
        <f>'NonPublic Enrollment'!$D11+'NonPublic Enrollment'!$F11+'NonPublic Enrollment'!$H11+'NonPublic Enrollment'!$J11</f>
        <v>0</v>
      </c>
      <c r="L11" s="39" t="s">
        <v>2949</v>
      </c>
    </row>
    <row r="12" spans="1:12">
      <c r="A12" s="36" t="s">
        <v>2561</v>
      </c>
      <c r="B12" s="36" t="str">
        <f>"009374"</f>
        <v>009374</v>
      </c>
      <c r="C12" s="36" t="s">
        <v>3202</v>
      </c>
      <c r="D12" s="44">
        <v>27</v>
      </c>
      <c r="E12" s="44">
        <v>0</v>
      </c>
      <c r="F12" s="44">
        <f>'NonPublic Enrollment'!$E12*0.1</f>
        <v>0</v>
      </c>
      <c r="G12" s="44">
        <v>0</v>
      </c>
      <c r="H12" s="44">
        <f>'NonPublic Enrollment'!$G12*0.7374</f>
        <v>0</v>
      </c>
      <c r="I12" s="44">
        <v>0</v>
      </c>
      <c r="J12" s="44">
        <f>'NonPublic Enrollment'!$I12*0.2906</f>
        <v>0</v>
      </c>
      <c r="K12" s="44">
        <f>'NonPublic Enrollment'!$D12+'NonPublic Enrollment'!$F12+'NonPublic Enrollment'!$H12+'NonPublic Enrollment'!$J12</f>
        <v>27</v>
      </c>
      <c r="L12" s="37" t="s">
        <v>2562</v>
      </c>
    </row>
    <row r="13" spans="1:12">
      <c r="A13" s="38" t="s">
        <v>2561</v>
      </c>
      <c r="B13" s="38" t="str">
        <f>"009467"</f>
        <v>009467</v>
      </c>
      <c r="C13" s="38" t="s">
        <v>3201</v>
      </c>
      <c r="D13" s="45">
        <v>299</v>
      </c>
      <c r="E13" s="45">
        <v>0</v>
      </c>
      <c r="F13" s="45">
        <f>'NonPublic Enrollment'!$E13*0.1</f>
        <v>0</v>
      </c>
      <c r="G13" s="45">
        <v>0</v>
      </c>
      <c r="H13" s="45">
        <f>'NonPublic Enrollment'!$G13*0.7374</f>
        <v>0</v>
      </c>
      <c r="I13" s="45">
        <v>0</v>
      </c>
      <c r="J13" s="45">
        <f>'NonPublic Enrollment'!$I13*0.2906</f>
        <v>0</v>
      </c>
      <c r="K13" s="45">
        <f>'NonPublic Enrollment'!$D13+'NonPublic Enrollment'!$F13+'NonPublic Enrollment'!$H13+'NonPublic Enrollment'!$J13</f>
        <v>299</v>
      </c>
      <c r="L13" s="39" t="s">
        <v>2562</v>
      </c>
    </row>
    <row r="14" spans="1:12">
      <c r="A14" s="36" t="s">
        <v>2561</v>
      </c>
      <c r="B14" s="36" t="str">
        <f>"009484"</f>
        <v>009484</v>
      </c>
      <c r="C14" s="36" t="s">
        <v>3200</v>
      </c>
      <c r="D14" s="44">
        <v>108</v>
      </c>
      <c r="E14" s="44">
        <v>0</v>
      </c>
      <c r="F14" s="44">
        <f>'NonPublic Enrollment'!$E14*0.1</f>
        <v>0</v>
      </c>
      <c r="G14" s="44">
        <v>0</v>
      </c>
      <c r="H14" s="44">
        <f>'NonPublic Enrollment'!$G14*0.7374</f>
        <v>0</v>
      </c>
      <c r="I14" s="44">
        <v>0</v>
      </c>
      <c r="J14" s="44">
        <f>'NonPublic Enrollment'!$I14*0.2906</f>
        <v>0</v>
      </c>
      <c r="K14" s="44">
        <f>'NonPublic Enrollment'!$D14+'NonPublic Enrollment'!$F14+'NonPublic Enrollment'!$H14+'NonPublic Enrollment'!$J14</f>
        <v>108</v>
      </c>
      <c r="L14" s="37" t="s">
        <v>2562</v>
      </c>
    </row>
    <row r="15" spans="1:12">
      <c r="A15" s="38" t="s">
        <v>2561</v>
      </c>
      <c r="B15" s="38" t="str">
        <f>"009485"</f>
        <v>009485</v>
      </c>
      <c r="C15" s="38" t="s">
        <v>3199</v>
      </c>
      <c r="D15" s="45">
        <v>169</v>
      </c>
      <c r="E15" s="45">
        <v>0</v>
      </c>
      <c r="F15" s="45">
        <f>'NonPublic Enrollment'!$E15*0.1</f>
        <v>0</v>
      </c>
      <c r="G15" s="45">
        <v>0</v>
      </c>
      <c r="H15" s="45">
        <f>'NonPublic Enrollment'!$G15*0.7374</f>
        <v>0</v>
      </c>
      <c r="I15" s="45">
        <v>0</v>
      </c>
      <c r="J15" s="45">
        <f>'NonPublic Enrollment'!$I15*0.2906</f>
        <v>0</v>
      </c>
      <c r="K15" s="45">
        <f>'NonPublic Enrollment'!$D15+'NonPublic Enrollment'!$F15+'NonPublic Enrollment'!$H15+'NonPublic Enrollment'!$J15</f>
        <v>169</v>
      </c>
      <c r="L15" s="39" t="s">
        <v>2562</v>
      </c>
    </row>
    <row r="16" spans="1:12">
      <c r="A16" s="36" t="s">
        <v>2561</v>
      </c>
      <c r="B16" s="36" t="str">
        <f>"009510"</f>
        <v>009510</v>
      </c>
      <c r="C16" s="36" t="s">
        <v>2602</v>
      </c>
      <c r="D16" s="44">
        <v>0</v>
      </c>
      <c r="E16" s="44">
        <v>0</v>
      </c>
      <c r="F16" s="44">
        <f>'NonPublic Enrollment'!$E16*0.1</f>
        <v>0</v>
      </c>
      <c r="G16" s="44">
        <v>0</v>
      </c>
      <c r="H16" s="44">
        <f>'NonPublic Enrollment'!$G16*0.7374</f>
        <v>0</v>
      </c>
      <c r="I16" s="44">
        <v>0</v>
      </c>
      <c r="J16" s="44">
        <f>'NonPublic Enrollment'!$I16*0.2906</f>
        <v>0</v>
      </c>
      <c r="K16" s="44">
        <f>'NonPublic Enrollment'!$D16+'NonPublic Enrollment'!$F16+'NonPublic Enrollment'!$H16+'NonPublic Enrollment'!$J16</f>
        <v>0</v>
      </c>
      <c r="L16" s="37" t="s">
        <v>2949</v>
      </c>
    </row>
    <row r="17" spans="1:12">
      <c r="A17" s="38" t="s">
        <v>2561</v>
      </c>
      <c r="B17" s="38" t="str">
        <f>"010184"</f>
        <v>010184</v>
      </c>
      <c r="C17" s="38" t="s">
        <v>3198</v>
      </c>
      <c r="D17" s="45">
        <v>200</v>
      </c>
      <c r="E17" s="45">
        <v>0</v>
      </c>
      <c r="F17" s="45">
        <f>'NonPublic Enrollment'!$E17*0.1</f>
        <v>0</v>
      </c>
      <c r="G17" s="45">
        <v>0</v>
      </c>
      <c r="H17" s="45">
        <f>'NonPublic Enrollment'!$G17*0.7374</f>
        <v>0</v>
      </c>
      <c r="I17" s="45">
        <v>0</v>
      </c>
      <c r="J17" s="45">
        <f>'NonPublic Enrollment'!$I17*0.2906</f>
        <v>0</v>
      </c>
      <c r="K17" s="45">
        <f>'NonPublic Enrollment'!$D17+'NonPublic Enrollment'!$F17+'NonPublic Enrollment'!$H17+'NonPublic Enrollment'!$J17</f>
        <v>200</v>
      </c>
      <c r="L17" s="39" t="s">
        <v>2562</v>
      </c>
    </row>
    <row r="18" spans="1:12">
      <c r="A18" s="36" t="s">
        <v>2561</v>
      </c>
      <c r="B18" s="36" t="str">
        <f>"010203"</f>
        <v>010203</v>
      </c>
      <c r="C18" s="36" t="s">
        <v>3197</v>
      </c>
      <c r="D18" s="44">
        <v>23</v>
      </c>
      <c r="E18" s="44">
        <v>0</v>
      </c>
      <c r="F18" s="44">
        <f>'NonPublic Enrollment'!$E18*0.1</f>
        <v>0</v>
      </c>
      <c r="G18" s="44">
        <v>0</v>
      </c>
      <c r="H18" s="44">
        <f>'NonPublic Enrollment'!$G18*0.7374</f>
        <v>0</v>
      </c>
      <c r="I18" s="44">
        <v>0</v>
      </c>
      <c r="J18" s="44">
        <f>'NonPublic Enrollment'!$I18*0.2906</f>
        <v>0</v>
      </c>
      <c r="K18" s="44">
        <f>'NonPublic Enrollment'!$D18+'NonPublic Enrollment'!$F18+'NonPublic Enrollment'!$H18+'NonPublic Enrollment'!$J18</f>
        <v>23</v>
      </c>
      <c r="L18" s="37" t="s">
        <v>2562</v>
      </c>
    </row>
    <row r="19" spans="1:12">
      <c r="A19" s="38" t="s">
        <v>2561</v>
      </c>
      <c r="B19" s="38" t="str">
        <f>"010608"</f>
        <v>010608</v>
      </c>
      <c r="C19" s="38" t="s">
        <v>3196</v>
      </c>
      <c r="D19" s="45">
        <v>207</v>
      </c>
      <c r="E19" s="45">
        <v>0</v>
      </c>
      <c r="F19" s="45">
        <f>'NonPublic Enrollment'!$E19*0.1</f>
        <v>0</v>
      </c>
      <c r="G19" s="45">
        <v>0</v>
      </c>
      <c r="H19" s="45">
        <f>'NonPublic Enrollment'!$G19*0.7374</f>
        <v>0</v>
      </c>
      <c r="I19" s="45">
        <v>0</v>
      </c>
      <c r="J19" s="45">
        <f>'NonPublic Enrollment'!$I19*0.2906</f>
        <v>0</v>
      </c>
      <c r="K19" s="45">
        <f>'NonPublic Enrollment'!$D19+'NonPublic Enrollment'!$F19+'NonPublic Enrollment'!$H19+'NonPublic Enrollment'!$J19</f>
        <v>207</v>
      </c>
      <c r="L19" s="39" t="s">
        <v>2562</v>
      </c>
    </row>
    <row r="20" spans="1:12">
      <c r="A20" s="36" t="s">
        <v>2561</v>
      </c>
      <c r="B20" s="36" t="str">
        <f>"011374"</f>
        <v>011374</v>
      </c>
      <c r="C20" s="36" t="s">
        <v>3195</v>
      </c>
      <c r="D20" s="44">
        <v>40</v>
      </c>
      <c r="E20" s="44">
        <v>0</v>
      </c>
      <c r="F20" s="44">
        <f>'NonPublic Enrollment'!$E20*0.1</f>
        <v>0</v>
      </c>
      <c r="G20" s="44">
        <v>0</v>
      </c>
      <c r="H20" s="44">
        <f>'NonPublic Enrollment'!$G20*0.7374</f>
        <v>0</v>
      </c>
      <c r="I20" s="44">
        <v>0</v>
      </c>
      <c r="J20" s="44">
        <f>'NonPublic Enrollment'!$I20*0.2906</f>
        <v>0</v>
      </c>
      <c r="K20" s="44">
        <f>'NonPublic Enrollment'!$D20+'NonPublic Enrollment'!$F20+'NonPublic Enrollment'!$H20+'NonPublic Enrollment'!$J20</f>
        <v>40</v>
      </c>
      <c r="L20" s="37" t="s">
        <v>2562</v>
      </c>
    </row>
    <row r="21" spans="1:12">
      <c r="A21" s="38" t="s">
        <v>2561</v>
      </c>
      <c r="B21" s="38" t="str">
        <f>"011576"</f>
        <v>011576</v>
      </c>
      <c r="C21" s="38" t="s">
        <v>3194</v>
      </c>
      <c r="D21" s="45">
        <v>281</v>
      </c>
      <c r="E21" s="45">
        <v>0</v>
      </c>
      <c r="F21" s="45">
        <f>'NonPublic Enrollment'!$E21*0.1</f>
        <v>0</v>
      </c>
      <c r="G21" s="45">
        <v>0</v>
      </c>
      <c r="H21" s="45">
        <f>'NonPublic Enrollment'!$G21*0.7374</f>
        <v>0</v>
      </c>
      <c r="I21" s="45">
        <v>0</v>
      </c>
      <c r="J21" s="45">
        <f>'NonPublic Enrollment'!$I21*0.2906</f>
        <v>0</v>
      </c>
      <c r="K21" s="45">
        <f>'NonPublic Enrollment'!$D21+'NonPublic Enrollment'!$F21+'NonPublic Enrollment'!$H21+'NonPublic Enrollment'!$J21</f>
        <v>281</v>
      </c>
      <c r="L21" s="39" t="s">
        <v>2562</v>
      </c>
    </row>
    <row r="22" spans="1:12">
      <c r="A22" s="36" t="s">
        <v>2561</v>
      </c>
      <c r="B22" s="36" t="str">
        <f>"011933"</f>
        <v>011933</v>
      </c>
      <c r="C22" s="36" t="s">
        <v>3193</v>
      </c>
      <c r="D22" s="44">
        <v>77</v>
      </c>
      <c r="E22" s="44">
        <v>0</v>
      </c>
      <c r="F22" s="44">
        <f>'NonPublic Enrollment'!$E22*0.1</f>
        <v>0</v>
      </c>
      <c r="G22" s="44">
        <v>0</v>
      </c>
      <c r="H22" s="44">
        <f>'NonPublic Enrollment'!$G22*0.7374</f>
        <v>0</v>
      </c>
      <c r="I22" s="44">
        <v>0</v>
      </c>
      <c r="J22" s="44">
        <f>'NonPublic Enrollment'!$I22*0.2906</f>
        <v>0</v>
      </c>
      <c r="K22" s="44">
        <f>'NonPublic Enrollment'!$D22+'NonPublic Enrollment'!$F22+'NonPublic Enrollment'!$H22+'NonPublic Enrollment'!$J22</f>
        <v>77</v>
      </c>
      <c r="L22" s="37" t="s">
        <v>2562</v>
      </c>
    </row>
    <row r="23" spans="1:12">
      <c r="A23" s="38" t="s">
        <v>2561</v>
      </c>
      <c r="B23" s="38" t="str">
        <f>"012008"</f>
        <v>012008</v>
      </c>
      <c r="C23" s="38" t="s">
        <v>3192</v>
      </c>
      <c r="D23" s="45">
        <v>14</v>
      </c>
      <c r="E23" s="45">
        <v>0</v>
      </c>
      <c r="F23" s="45">
        <f>'NonPublic Enrollment'!$E23*0.1</f>
        <v>0</v>
      </c>
      <c r="G23" s="45">
        <v>0</v>
      </c>
      <c r="H23" s="45">
        <f>'NonPublic Enrollment'!$G23*0.7374</f>
        <v>0</v>
      </c>
      <c r="I23" s="45">
        <v>0</v>
      </c>
      <c r="J23" s="45">
        <f>'NonPublic Enrollment'!$I23*0.2906</f>
        <v>0</v>
      </c>
      <c r="K23" s="45">
        <f>'NonPublic Enrollment'!$D23+'NonPublic Enrollment'!$F23+'NonPublic Enrollment'!$H23+'NonPublic Enrollment'!$J23</f>
        <v>14</v>
      </c>
      <c r="L23" s="39" t="s">
        <v>2572</v>
      </c>
    </row>
    <row r="24" spans="1:12">
      <c r="A24" s="36" t="s">
        <v>2561</v>
      </c>
      <c r="B24" s="36" t="str">
        <f>"012522"</f>
        <v>012522</v>
      </c>
      <c r="C24" s="36" t="s">
        <v>3191</v>
      </c>
      <c r="D24" s="44">
        <v>22</v>
      </c>
      <c r="E24" s="44">
        <v>0</v>
      </c>
      <c r="F24" s="44">
        <f>'NonPublic Enrollment'!$E24*0.1</f>
        <v>0</v>
      </c>
      <c r="G24" s="44">
        <v>0</v>
      </c>
      <c r="H24" s="44">
        <f>'NonPublic Enrollment'!$G24*0.7374</f>
        <v>0</v>
      </c>
      <c r="I24" s="44">
        <v>0</v>
      </c>
      <c r="J24" s="44">
        <f>'NonPublic Enrollment'!$I24*0.2906</f>
        <v>0</v>
      </c>
      <c r="K24" s="44">
        <f>'NonPublic Enrollment'!$D24+'NonPublic Enrollment'!$F24+'NonPublic Enrollment'!$H24+'NonPublic Enrollment'!$J24</f>
        <v>22</v>
      </c>
      <c r="L24" s="37" t="s">
        <v>2562</v>
      </c>
    </row>
    <row r="25" spans="1:12">
      <c r="A25" s="38" t="s">
        <v>2561</v>
      </c>
      <c r="B25" s="38" t="str">
        <f>"012678"</f>
        <v>012678</v>
      </c>
      <c r="C25" s="38" t="s">
        <v>3190</v>
      </c>
      <c r="D25" s="45">
        <v>0</v>
      </c>
      <c r="E25" s="45">
        <v>0</v>
      </c>
      <c r="F25" s="45">
        <f>'NonPublic Enrollment'!$E25*0.1</f>
        <v>0</v>
      </c>
      <c r="G25" s="45">
        <v>0</v>
      </c>
      <c r="H25" s="45">
        <f>'NonPublic Enrollment'!$G25*0.7374</f>
        <v>0</v>
      </c>
      <c r="I25" s="45">
        <v>0</v>
      </c>
      <c r="J25" s="45">
        <f>'NonPublic Enrollment'!$I25*0.2906</f>
        <v>0</v>
      </c>
      <c r="K25" s="45">
        <f>'NonPublic Enrollment'!$D25+'NonPublic Enrollment'!$F25+'NonPublic Enrollment'!$H25+'NonPublic Enrollment'!$J25</f>
        <v>0</v>
      </c>
      <c r="L25" s="39" t="s">
        <v>2949</v>
      </c>
    </row>
    <row r="26" spans="1:12">
      <c r="A26" s="36" t="s">
        <v>2561</v>
      </c>
      <c r="B26" s="36" t="str">
        <f>"012873"</f>
        <v>012873</v>
      </c>
      <c r="C26" s="36" t="s">
        <v>3189</v>
      </c>
      <c r="D26" s="44">
        <v>0</v>
      </c>
      <c r="E26" s="44">
        <v>0</v>
      </c>
      <c r="F26" s="44">
        <f>'NonPublic Enrollment'!$E26*0.1</f>
        <v>0</v>
      </c>
      <c r="G26" s="44">
        <v>0</v>
      </c>
      <c r="H26" s="44">
        <f>'NonPublic Enrollment'!$G26*0.7374</f>
        <v>0</v>
      </c>
      <c r="I26" s="44">
        <v>0</v>
      </c>
      <c r="J26" s="44">
        <f>'NonPublic Enrollment'!$I26*0.2906</f>
        <v>0</v>
      </c>
      <c r="K26" s="44">
        <f>'NonPublic Enrollment'!$D26+'NonPublic Enrollment'!$F26+'NonPublic Enrollment'!$H26+'NonPublic Enrollment'!$J26</f>
        <v>0</v>
      </c>
      <c r="L26" s="37" t="s">
        <v>2949</v>
      </c>
    </row>
    <row r="27" spans="1:12">
      <c r="A27" s="38" t="s">
        <v>2561</v>
      </c>
      <c r="B27" s="38" t="str">
        <f>"012900"</f>
        <v>012900</v>
      </c>
      <c r="C27" s="38" t="s">
        <v>3188</v>
      </c>
      <c r="D27" s="45">
        <v>44</v>
      </c>
      <c r="E27" s="45">
        <v>0</v>
      </c>
      <c r="F27" s="45">
        <f>'NonPublic Enrollment'!$E27*0.1</f>
        <v>0</v>
      </c>
      <c r="G27" s="45">
        <v>0</v>
      </c>
      <c r="H27" s="45">
        <f>'NonPublic Enrollment'!$G27*0.7374</f>
        <v>0</v>
      </c>
      <c r="I27" s="45">
        <v>0</v>
      </c>
      <c r="J27" s="45">
        <f>'NonPublic Enrollment'!$I27*0.2906</f>
        <v>0</v>
      </c>
      <c r="K27" s="45">
        <f>'NonPublic Enrollment'!$D27+'NonPublic Enrollment'!$F27+'NonPublic Enrollment'!$H27+'NonPublic Enrollment'!$J27</f>
        <v>44</v>
      </c>
      <c r="L27" s="39" t="s">
        <v>2562</v>
      </c>
    </row>
    <row r="28" spans="1:12">
      <c r="A28" s="36" t="s">
        <v>2561</v>
      </c>
      <c r="B28" s="36" t="str">
        <f>"012975"</f>
        <v>012975</v>
      </c>
      <c r="C28" s="36" t="s">
        <v>3187</v>
      </c>
      <c r="D28" s="44">
        <v>55</v>
      </c>
      <c r="E28" s="44">
        <v>0</v>
      </c>
      <c r="F28" s="44">
        <f>'NonPublic Enrollment'!$E28*0.1</f>
        <v>0</v>
      </c>
      <c r="G28" s="44">
        <v>0</v>
      </c>
      <c r="H28" s="44">
        <f>'NonPublic Enrollment'!$G28*0.7374</f>
        <v>0</v>
      </c>
      <c r="I28" s="44">
        <v>0</v>
      </c>
      <c r="J28" s="44">
        <f>'NonPublic Enrollment'!$I28*0.2906</f>
        <v>0</v>
      </c>
      <c r="K28" s="44">
        <f>'NonPublic Enrollment'!$D28+'NonPublic Enrollment'!$F28+'NonPublic Enrollment'!$H28+'NonPublic Enrollment'!$J28</f>
        <v>55</v>
      </c>
      <c r="L28" s="37" t="s">
        <v>2562</v>
      </c>
    </row>
    <row r="29" spans="1:12">
      <c r="A29" s="38" t="s">
        <v>2561</v>
      </c>
      <c r="B29" s="38" t="str">
        <f>"013208"</f>
        <v>013208</v>
      </c>
      <c r="C29" s="38" t="s">
        <v>3186</v>
      </c>
      <c r="D29" s="45">
        <v>37</v>
      </c>
      <c r="E29" s="45">
        <v>0</v>
      </c>
      <c r="F29" s="45">
        <f>'NonPublic Enrollment'!$E29*0.1</f>
        <v>0</v>
      </c>
      <c r="G29" s="45">
        <v>0</v>
      </c>
      <c r="H29" s="45">
        <f>'NonPublic Enrollment'!$G29*0.7374</f>
        <v>0</v>
      </c>
      <c r="I29" s="45">
        <v>0</v>
      </c>
      <c r="J29" s="45">
        <f>'NonPublic Enrollment'!$I29*0.2906</f>
        <v>0</v>
      </c>
      <c r="K29" s="45">
        <f>'NonPublic Enrollment'!$D29+'NonPublic Enrollment'!$F29+'NonPublic Enrollment'!$H29+'NonPublic Enrollment'!$J29</f>
        <v>37</v>
      </c>
      <c r="L29" s="39" t="s">
        <v>2562</v>
      </c>
    </row>
    <row r="30" spans="1:12">
      <c r="A30" s="36" t="s">
        <v>2561</v>
      </c>
      <c r="B30" s="36" t="str">
        <f>"013257"</f>
        <v>013257</v>
      </c>
      <c r="C30" s="36" t="s">
        <v>3185</v>
      </c>
      <c r="D30" s="44">
        <v>25</v>
      </c>
      <c r="E30" s="44">
        <v>0</v>
      </c>
      <c r="F30" s="44">
        <f>'NonPublic Enrollment'!$E30*0.1</f>
        <v>0</v>
      </c>
      <c r="G30" s="44">
        <v>0</v>
      </c>
      <c r="H30" s="44">
        <f>'NonPublic Enrollment'!$G30*0.7374</f>
        <v>0</v>
      </c>
      <c r="I30" s="44">
        <v>0</v>
      </c>
      <c r="J30" s="44">
        <f>'NonPublic Enrollment'!$I30*0.2906</f>
        <v>0</v>
      </c>
      <c r="K30" s="44">
        <f>'NonPublic Enrollment'!$D30+'NonPublic Enrollment'!$F30+'NonPublic Enrollment'!$H30+'NonPublic Enrollment'!$J30</f>
        <v>25</v>
      </c>
      <c r="L30" s="37" t="s">
        <v>2562</v>
      </c>
    </row>
    <row r="31" spans="1:12">
      <c r="A31" s="38" t="s">
        <v>2561</v>
      </c>
      <c r="B31" s="38" t="str">
        <f>"014140"</f>
        <v>014140</v>
      </c>
      <c r="C31" s="38" t="s">
        <v>3184</v>
      </c>
      <c r="D31" s="45">
        <v>80</v>
      </c>
      <c r="E31" s="45">
        <v>0</v>
      </c>
      <c r="F31" s="45">
        <f>'NonPublic Enrollment'!$E31*0.1</f>
        <v>0</v>
      </c>
      <c r="G31" s="45">
        <v>0</v>
      </c>
      <c r="H31" s="45">
        <f>'NonPublic Enrollment'!$G31*0.7374</f>
        <v>0</v>
      </c>
      <c r="I31" s="45">
        <v>0</v>
      </c>
      <c r="J31" s="45">
        <f>'NonPublic Enrollment'!$I31*0.2906</f>
        <v>0</v>
      </c>
      <c r="K31" s="45">
        <f>'NonPublic Enrollment'!$D31+'NonPublic Enrollment'!$F31+'NonPublic Enrollment'!$H31+'NonPublic Enrollment'!$J31</f>
        <v>80</v>
      </c>
      <c r="L31" s="39" t="s">
        <v>2562</v>
      </c>
    </row>
    <row r="32" spans="1:12">
      <c r="A32" s="36" t="s">
        <v>2561</v>
      </c>
      <c r="B32" s="36" t="str">
        <f>"014157"</f>
        <v>014157</v>
      </c>
      <c r="C32" s="36" t="s">
        <v>3183</v>
      </c>
      <c r="D32" s="44">
        <v>242</v>
      </c>
      <c r="E32" s="44">
        <v>0</v>
      </c>
      <c r="F32" s="44">
        <f>'NonPublic Enrollment'!$E32*0.1</f>
        <v>0</v>
      </c>
      <c r="G32" s="44">
        <v>0</v>
      </c>
      <c r="H32" s="44">
        <f>'NonPublic Enrollment'!$G32*0.7374</f>
        <v>0</v>
      </c>
      <c r="I32" s="44">
        <v>0</v>
      </c>
      <c r="J32" s="44">
        <f>'NonPublic Enrollment'!$I32*0.2906</f>
        <v>0</v>
      </c>
      <c r="K32" s="44">
        <f>'NonPublic Enrollment'!$D32+'NonPublic Enrollment'!$F32+'NonPublic Enrollment'!$H32+'NonPublic Enrollment'!$J32</f>
        <v>242</v>
      </c>
      <c r="L32" s="37" t="s">
        <v>2562</v>
      </c>
    </row>
    <row r="33" spans="1:12">
      <c r="A33" s="38" t="s">
        <v>2561</v>
      </c>
      <c r="B33" s="38" t="str">
        <f>"014173"</f>
        <v>014173</v>
      </c>
      <c r="C33" s="38" t="s">
        <v>3182</v>
      </c>
      <c r="D33" s="45">
        <v>37</v>
      </c>
      <c r="E33" s="45">
        <v>0</v>
      </c>
      <c r="F33" s="45">
        <f>'NonPublic Enrollment'!$E33*0.1</f>
        <v>0</v>
      </c>
      <c r="G33" s="45">
        <v>0</v>
      </c>
      <c r="H33" s="45">
        <f>'NonPublic Enrollment'!$G33*0.7374</f>
        <v>0</v>
      </c>
      <c r="I33" s="45">
        <v>0</v>
      </c>
      <c r="J33" s="45">
        <f>'NonPublic Enrollment'!$I33*0.2906</f>
        <v>0</v>
      </c>
      <c r="K33" s="45">
        <f>'NonPublic Enrollment'!$D33+'NonPublic Enrollment'!$F33+'NonPublic Enrollment'!$H33+'NonPublic Enrollment'!$J33</f>
        <v>37</v>
      </c>
      <c r="L33" s="39" t="s">
        <v>2562</v>
      </c>
    </row>
    <row r="34" spans="1:12">
      <c r="A34" s="36" t="s">
        <v>2561</v>
      </c>
      <c r="B34" s="36" t="str">
        <f>"014785"</f>
        <v>014785</v>
      </c>
      <c r="C34" s="36" t="s">
        <v>3181</v>
      </c>
      <c r="D34" s="44">
        <v>7</v>
      </c>
      <c r="E34" s="44">
        <v>0</v>
      </c>
      <c r="F34" s="44">
        <f>'NonPublic Enrollment'!$E34*0.1</f>
        <v>0</v>
      </c>
      <c r="G34" s="44">
        <v>0</v>
      </c>
      <c r="H34" s="44">
        <f>'NonPublic Enrollment'!$G34*0.7374</f>
        <v>0</v>
      </c>
      <c r="I34" s="44">
        <v>0</v>
      </c>
      <c r="J34" s="44">
        <f>'NonPublic Enrollment'!$I34*0.2906</f>
        <v>0</v>
      </c>
      <c r="K34" s="44">
        <f>'NonPublic Enrollment'!$D34+'NonPublic Enrollment'!$F34+'NonPublic Enrollment'!$H34+'NonPublic Enrollment'!$J34</f>
        <v>7</v>
      </c>
      <c r="L34" s="37" t="s">
        <v>2562</v>
      </c>
    </row>
    <row r="35" spans="1:12">
      <c r="A35" s="38" t="s">
        <v>2561</v>
      </c>
      <c r="B35" s="38" t="str">
        <f>"015339"</f>
        <v>015339</v>
      </c>
      <c r="C35" s="38" t="s">
        <v>2930</v>
      </c>
      <c r="D35" s="45">
        <v>0</v>
      </c>
      <c r="E35" s="45">
        <v>0</v>
      </c>
      <c r="F35" s="45">
        <f>'NonPublic Enrollment'!$E35*0.1</f>
        <v>0</v>
      </c>
      <c r="G35" s="45">
        <v>0</v>
      </c>
      <c r="H35" s="45">
        <f>'NonPublic Enrollment'!$G35*0.7374</f>
        <v>0</v>
      </c>
      <c r="I35" s="45">
        <v>0</v>
      </c>
      <c r="J35" s="45">
        <f>'NonPublic Enrollment'!$I35*0.2906</f>
        <v>0</v>
      </c>
      <c r="K35" s="45">
        <f>'NonPublic Enrollment'!$D35+'NonPublic Enrollment'!$F35+'NonPublic Enrollment'!$H35+'NonPublic Enrollment'!$J35</f>
        <v>0</v>
      </c>
      <c r="L35" s="39" t="s">
        <v>2949</v>
      </c>
    </row>
    <row r="36" spans="1:12">
      <c r="A36" s="36" t="s">
        <v>2561</v>
      </c>
      <c r="B36" s="36" t="str">
        <f>"015374"</f>
        <v>015374</v>
      </c>
      <c r="C36" s="36" t="s">
        <v>3180</v>
      </c>
      <c r="D36" s="44">
        <v>11</v>
      </c>
      <c r="E36" s="44">
        <v>0</v>
      </c>
      <c r="F36" s="44">
        <f>'NonPublic Enrollment'!$E36*0.1</f>
        <v>0</v>
      </c>
      <c r="G36" s="44">
        <v>0</v>
      </c>
      <c r="H36" s="44">
        <f>'NonPublic Enrollment'!$G36*0.7374</f>
        <v>0</v>
      </c>
      <c r="I36" s="44">
        <v>0</v>
      </c>
      <c r="J36" s="44">
        <f>'NonPublic Enrollment'!$I36*0.2906</f>
        <v>0</v>
      </c>
      <c r="K36" s="44">
        <f>'NonPublic Enrollment'!$D36+'NonPublic Enrollment'!$F36+'NonPublic Enrollment'!$H36+'NonPublic Enrollment'!$J36</f>
        <v>11</v>
      </c>
      <c r="L36" s="37" t="s">
        <v>2569</v>
      </c>
    </row>
    <row r="37" spans="1:12">
      <c r="A37" s="38" t="s">
        <v>2561</v>
      </c>
      <c r="B37" s="38" t="str">
        <f>"015375"</f>
        <v>015375</v>
      </c>
      <c r="C37" s="38" t="s">
        <v>3179</v>
      </c>
      <c r="D37" s="45">
        <v>0</v>
      </c>
      <c r="E37" s="45">
        <v>0</v>
      </c>
      <c r="F37" s="45">
        <f>'NonPublic Enrollment'!$E37*0.1</f>
        <v>0</v>
      </c>
      <c r="G37" s="45">
        <v>0</v>
      </c>
      <c r="H37" s="45">
        <f>'NonPublic Enrollment'!$G37*0.7374</f>
        <v>0</v>
      </c>
      <c r="I37" s="45">
        <v>0</v>
      </c>
      <c r="J37" s="45">
        <f>'NonPublic Enrollment'!$I37*0.2906</f>
        <v>0</v>
      </c>
      <c r="K37" s="45">
        <f>'NonPublic Enrollment'!$D37+'NonPublic Enrollment'!$F37+'NonPublic Enrollment'!$H37+'NonPublic Enrollment'!$J37</f>
        <v>0</v>
      </c>
      <c r="L37" s="39" t="s">
        <v>2949</v>
      </c>
    </row>
    <row r="38" spans="1:12">
      <c r="A38" s="36" t="s">
        <v>2561</v>
      </c>
      <c r="B38" s="36" t="str">
        <f>"015439"</f>
        <v>015439</v>
      </c>
      <c r="C38" s="36" t="s">
        <v>3178</v>
      </c>
      <c r="D38" s="44">
        <v>0</v>
      </c>
      <c r="E38" s="44">
        <v>0</v>
      </c>
      <c r="F38" s="44">
        <f>'NonPublic Enrollment'!$E38*0.1</f>
        <v>0</v>
      </c>
      <c r="G38" s="44">
        <v>0</v>
      </c>
      <c r="H38" s="44">
        <f>'NonPublic Enrollment'!$G38*0.7374</f>
        <v>0</v>
      </c>
      <c r="I38" s="44">
        <v>0</v>
      </c>
      <c r="J38" s="44">
        <f>'NonPublic Enrollment'!$I38*0.2906</f>
        <v>0</v>
      </c>
      <c r="K38" s="44">
        <f>'NonPublic Enrollment'!$D38+'NonPublic Enrollment'!$F38+'NonPublic Enrollment'!$H38+'NonPublic Enrollment'!$J38</f>
        <v>0</v>
      </c>
      <c r="L38" s="37" t="s">
        <v>2949</v>
      </c>
    </row>
    <row r="39" spans="1:12">
      <c r="A39" s="38" t="s">
        <v>2561</v>
      </c>
      <c r="B39" s="38" t="str">
        <f>"015488"</f>
        <v>015488</v>
      </c>
      <c r="C39" s="38" t="s">
        <v>3177</v>
      </c>
      <c r="D39" s="45">
        <v>0</v>
      </c>
      <c r="E39" s="45">
        <v>0</v>
      </c>
      <c r="F39" s="45">
        <f>'NonPublic Enrollment'!$E39*0.1</f>
        <v>0</v>
      </c>
      <c r="G39" s="45">
        <v>0</v>
      </c>
      <c r="H39" s="45">
        <f>'NonPublic Enrollment'!$G39*0.7374</f>
        <v>0</v>
      </c>
      <c r="I39" s="45">
        <v>0</v>
      </c>
      <c r="J39" s="45">
        <f>'NonPublic Enrollment'!$I39*0.2906</f>
        <v>0</v>
      </c>
      <c r="K39" s="45">
        <f>'NonPublic Enrollment'!$D39+'NonPublic Enrollment'!$F39+'NonPublic Enrollment'!$H39+'NonPublic Enrollment'!$J39</f>
        <v>0</v>
      </c>
      <c r="L39" s="39" t="s">
        <v>2949</v>
      </c>
    </row>
    <row r="40" spans="1:12">
      <c r="A40" s="36" t="s">
        <v>2561</v>
      </c>
      <c r="B40" s="36" t="str">
        <f>"015489"</f>
        <v>015489</v>
      </c>
      <c r="C40" s="36" t="s">
        <v>3176</v>
      </c>
      <c r="D40" s="44">
        <v>62</v>
      </c>
      <c r="E40" s="44">
        <v>0</v>
      </c>
      <c r="F40" s="44">
        <f>'NonPublic Enrollment'!$E40*0.1</f>
        <v>0</v>
      </c>
      <c r="G40" s="44">
        <v>0</v>
      </c>
      <c r="H40" s="44">
        <f>'NonPublic Enrollment'!$G40*0.7374</f>
        <v>0</v>
      </c>
      <c r="I40" s="44">
        <v>0</v>
      </c>
      <c r="J40" s="44">
        <f>'NonPublic Enrollment'!$I40*0.2906</f>
        <v>0</v>
      </c>
      <c r="K40" s="44">
        <f>'NonPublic Enrollment'!$D40+'NonPublic Enrollment'!$F40+'NonPublic Enrollment'!$H40+'NonPublic Enrollment'!$J40</f>
        <v>62</v>
      </c>
      <c r="L40" s="37" t="s">
        <v>2572</v>
      </c>
    </row>
    <row r="41" spans="1:12">
      <c r="A41" s="38" t="s">
        <v>2561</v>
      </c>
      <c r="B41" s="38" t="str">
        <f>"015521"</f>
        <v>015521</v>
      </c>
      <c r="C41" s="38" t="s">
        <v>3175</v>
      </c>
      <c r="D41" s="45">
        <v>100</v>
      </c>
      <c r="E41" s="45">
        <v>0</v>
      </c>
      <c r="F41" s="45">
        <f>'NonPublic Enrollment'!$E41*0.1</f>
        <v>0</v>
      </c>
      <c r="G41" s="45">
        <v>0</v>
      </c>
      <c r="H41" s="45">
        <f>'NonPublic Enrollment'!$G41*0.7374</f>
        <v>0</v>
      </c>
      <c r="I41" s="45">
        <v>0</v>
      </c>
      <c r="J41" s="45">
        <f>'NonPublic Enrollment'!$I41*0.2906</f>
        <v>0</v>
      </c>
      <c r="K41" s="45">
        <f>'NonPublic Enrollment'!$D41+'NonPublic Enrollment'!$F41+'NonPublic Enrollment'!$H41+'NonPublic Enrollment'!$J41</f>
        <v>100</v>
      </c>
      <c r="L41" s="39" t="s">
        <v>2562</v>
      </c>
    </row>
    <row r="42" spans="1:12">
      <c r="A42" s="36" t="s">
        <v>2561</v>
      </c>
      <c r="B42" s="36" t="str">
        <f>"015557"</f>
        <v>015557</v>
      </c>
      <c r="C42" s="36" t="s">
        <v>3174</v>
      </c>
      <c r="D42" s="44">
        <v>20</v>
      </c>
      <c r="E42" s="44">
        <v>0</v>
      </c>
      <c r="F42" s="44">
        <f>'NonPublic Enrollment'!$E42*0.1</f>
        <v>0</v>
      </c>
      <c r="G42" s="44">
        <v>0</v>
      </c>
      <c r="H42" s="44">
        <f>'NonPublic Enrollment'!$G42*0.7374</f>
        <v>0</v>
      </c>
      <c r="I42" s="44">
        <v>0</v>
      </c>
      <c r="J42" s="44">
        <f>'NonPublic Enrollment'!$I42*0.2906</f>
        <v>0</v>
      </c>
      <c r="K42" s="44">
        <f>'NonPublic Enrollment'!$D42+'NonPublic Enrollment'!$F42+'NonPublic Enrollment'!$H42+'NonPublic Enrollment'!$J42</f>
        <v>20</v>
      </c>
      <c r="L42" s="37" t="s">
        <v>2562</v>
      </c>
    </row>
    <row r="43" spans="1:12">
      <c r="A43" s="38" t="s">
        <v>2561</v>
      </c>
      <c r="B43" s="38" t="str">
        <f>"015752"</f>
        <v>015752</v>
      </c>
      <c r="C43" s="38" t="s">
        <v>3173</v>
      </c>
      <c r="D43" s="45">
        <v>0</v>
      </c>
      <c r="E43" s="45">
        <v>0</v>
      </c>
      <c r="F43" s="45">
        <f>'NonPublic Enrollment'!$E43*0.1</f>
        <v>0</v>
      </c>
      <c r="G43" s="45">
        <v>0</v>
      </c>
      <c r="H43" s="45">
        <f>'NonPublic Enrollment'!$G43*0.7374</f>
        <v>0</v>
      </c>
      <c r="I43" s="45">
        <v>0</v>
      </c>
      <c r="J43" s="45">
        <f>'NonPublic Enrollment'!$I43*0.2906</f>
        <v>0</v>
      </c>
      <c r="K43" s="45">
        <f>'NonPublic Enrollment'!$D43+'NonPublic Enrollment'!$F43+'NonPublic Enrollment'!$H43+'NonPublic Enrollment'!$J43</f>
        <v>0</v>
      </c>
      <c r="L43" s="39" t="s">
        <v>2949</v>
      </c>
    </row>
    <row r="44" spans="1:12">
      <c r="A44" s="36" t="s">
        <v>2561</v>
      </c>
      <c r="B44" s="36" t="str">
        <f>"016119"</f>
        <v>016119</v>
      </c>
      <c r="C44" s="36" t="s">
        <v>3172</v>
      </c>
      <c r="D44" s="44">
        <v>76</v>
      </c>
      <c r="E44" s="44">
        <v>0</v>
      </c>
      <c r="F44" s="44">
        <f>'NonPublic Enrollment'!$E44*0.1</f>
        <v>0</v>
      </c>
      <c r="G44" s="44">
        <v>0</v>
      </c>
      <c r="H44" s="44">
        <f>'NonPublic Enrollment'!$G44*0.7374</f>
        <v>0</v>
      </c>
      <c r="I44" s="44">
        <v>0</v>
      </c>
      <c r="J44" s="44">
        <f>'NonPublic Enrollment'!$I44*0.2906</f>
        <v>0</v>
      </c>
      <c r="K44" s="44">
        <f>'NonPublic Enrollment'!$D44+'NonPublic Enrollment'!$F44+'NonPublic Enrollment'!$H44+'NonPublic Enrollment'!$J44</f>
        <v>76</v>
      </c>
      <c r="L44" s="37" t="s">
        <v>2562</v>
      </c>
    </row>
    <row r="45" spans="1:12">
      <c r="A45" s="38" t="s">
        <v>2561</v>
      </c>
      <c r="B45" s="38" t="str">
        <f>"016719"</f>
        <v>016719</v>
      </c>
      <c r="C45" s="38" t="s">
        <v>2658</v>
      </c>
      <c r="D45" s="45">
        <v>0</v>
      </c>
      <c r="E45" s="45">
        <v>0</v>
      </c>
      <c r="F45" s="45">
        <f>'NonPublic Enrollment'!$E45*0.1</f>
        <v>0</v>
      </c>
      <c r="G45" s="45">
        <v>0</v>
      </c>
      <c r="H45" s="45">
        <f>'NonPublic Enrollment'!$G45*0.7374</f>
        <v>0</v>
      </c>
      <c r="I45" s="45">
        <v>0</v>
      </c>
      <c r="J45" s="45">
        <f>'NonPublic Enrollment'!$I45*0.2906</f>
        <v>0</v>
      </c>
      <c r="K45" s="45">
        <f>'NonPublic Enrollment'!$D45+'NonPublic Enrollment'!$F45+'NonPublic Enrollment'!$H45+'NonPublic Enrollment'!$J45</f>
        <v>0</v>
      </c>
      <c r="L45" s="39" t="s">
        <v>2949</v>
      </c>
    </row>
    <row r="46" spans="1:12">
      <c r="A46" s="36" t="s">
        <v>2561</v>
      </c>
      <c r="B46" s="36" t="str">
        <f>"017033"</f>
        <v>017033</v>
      </c>
      <c r="C46" s="36" t="s">
        <v>3171</v>
      </c>
      <c r="D46" s="44">
        <v>0</v>
      </c>
      <c r="E46" s="44">
        <v>0</v>
      </c>
      <c r="F46" s="44">
        <f>'NonPublic Enrollment'!$E46*0.1</f>
        <v>0</v>
      </c>
      <c r="G46" s="44">
        <v>0</v>
      </c>
      <c r="H46" s="44">
        <f>'NonPublic Enrollment'!$G46*0.7374</f>
        <v>0</v>
      </c>
      <c r="I46" s="44">
        <v>0</v>
      </c>
      <c r="J46" s="44">
        <f>'NonPublic Enrollment'!$I46*0.2906</f>
        <v>0</v>
      </c>
      <c r="K46" s="44">
        <f>'NonPublic Enrollment'!$D46+'NonPublic Enrollment'!$F46+'NonPublic Enrollment'!$H46+'NonPublic Enrollment'!$J46</f>
        <v>0</v>
      </c>
      <c r="L46" s="37" t="s">
        <v>2949</v>
      </c>
    </row>
    <row r="47" spans="1:12">
      <c r="A47" s="38" t="s">
        <v>2561</v>
      </c>
      <c r="B47" s="38" t="str">
        <f>"017084"</f>
        <v>017084</v>
      </c>
      <c r="C47" s="38" t="s">
        <v>3170</v>
      </c>
      <c r="D47" s="45">
        <v>0</v>
      </c>
      <c r="E47" s="45">
        <v>0</v>
      </c>
      <c r="F47" s="45">
        <f>'NonPublic Enrollment'!$E47*0.1</f>
        <v>0</v>
      </c>
      <c r="G47" s="45">
        <v>0</v>
      </c>
      <c r="H47" s="45">
        <f>'NonPublic Enrollment'!$G47*0.7374</f>
        <v>0</v>
      </c>
      <c r="I47" s="45">
        <v>0</v>
      </c>
      <c r="J47" s="45">
        <f>'NonPublic Enrollment'!$I47*0.2906</f>
        <v>0</v>
      </c>
      <c r="K47" s="45">
        <f>'NonPublic Enrollment'!$D47+'NonPublic Enrollment'!$F47+'NonPublic Enrollment'!$H47+'NonPublic Enrollment'!$J47</f>
        <v>0</v>
      </c>
      <c r="L47" s="39" t="s">
        <v>2949</v>
      </c>
    </row>
    <row r="48" spans="1:12">
      <c r="A48" s="36" t="s">
        <v>2561</v>
      </c>
      <c r="B48" s="36" t="str">
        <f>"017153"</f>
        <v>017153</v>
      </c>
      <c r="C48" s="36" t="s">
        <v>3169</v>
      </c>
      <c r="D48" s="44">
        <v>17</v>
      </c>
      <c r="E48" s="44">
        <v>0</v>
      </c>
      <c r="F48" s="44">
        <f>'NonPublic Enrollment'!$E48*0.1</f>
        <v>0</v>
      </c>
      <c r="G48" s="44">
        <v>0</v>
      </c>
      <c r="H48" s="44">
        <f>'NonPublic Enrollment'!$G48*0.7374</f>
        <v>0</v>
      </c>
      <c r="I48" s="44">
        <v>0</v>
      </c>
      <c r="J48" s="44">
        <f>'NonPublic Enrollment'!$I48*0.2906</f>
        <v>0</v>
      </c>
      <c r="K48" s="44">
        <f>'NonPublic Enrollment'!$D48+'NonPublic Enrollment'!$F48+'NonPublic Enrollment'!$H48+'NonPublic Enrollment'!$J48</f>
        <v>17</v>
      </c>
      <c r="L48" s="37" t="s">
        <v>2562</v>
      </c>
    </row>
    <row r="49" spans="1:12">
      <c r="A49" s="38" t="s">
        <v>2561</v>
      </c>
      <c r="B49" s="38" t="str">
        <f>"017169"</f>
        <v>017169</v>
      </c>
      <c r="C49" s="38" t="s">
        <v>3168</v>
      </c>
      <c r="D49" s="45">
        <v>32</v>
      </c>
      <c r="E49" s="45">
        <v>0</v>
      </c>
      <c r="F49" s="45">
        <f>'NonPublic Enrollment'!$E49*0.1</f>
        <v>0</v>
      </c>
      <c r="G49" s="45">
        <v>0</v>
      </c>
      <c r="H49" s="45">
        <f>'NonPublic Enrollment'!$G49*0.7374</f>
        <v>0</v>
      </c>
      <c r="I49" s="45">
        <v>0</v>
      </c>
      <c r="J49" s="45">
        <f>'NonPublic Enrollment'!$I49*0.2906</f>
        <v>0</v>
      </c>
      <c r="K49" s="45">
        <f>'NonPublic Enrollment'!$D49+'NonPublic Enrollment'!$F49+'NonPublic Enrollment'!$H49+'NonPublic Enrollment'!$J49</f>
        <v>32</v>
      </c>
      <c r="L49" s="39" t="s">
        <v>2562</v>
      </c>
    </row>
    <row r="50" spans="1:12">
      <c r="A50" s="36" t="s">
        <v>2561</v>
      </c>
      <c r="B50" s="36" t="str">
        <f>"017433"</f>
        <v>017433</v>
      </c>
      <c r="C50" s="36" t="s">
        <v>3167</v>
      </c>
      <c r="D50" s="44">
        <v>10</v>
      </c>
      <c r="E50" s="44">
        <v>0</v>
      </c>
      <c r="F50" s="44">
        <f>'NonPublic Enrollment'!$E50*0.1</f>
        <v>0</v>
      </c>
      <c r="G50" s="44">
        <v>0</v>
      </c>
      <c r="H50" s="44">
        <f>'NonPublic Enrollment'!$G50*0.7374</f>
        <v>0</v>
      </c>
      <c r="I50" s="44">
        <v>0</v>
      </c>
      <c r="J50" s="44">
        <f>'NonPublic Enrollment'!$I50*0.2906</f>
        <v>0</v>
      </c>
      <c r="K50" s="44">
        <f>'NonPublic Enrollment'!$D50+'NonPublic Enrollment'!$F50+'NonPublic Enrollment'!$H50+'NonPublic Enrollment'!$J50</f>
        <v>10</v>
      </c>
      <c r="L50" s="37" t="s">
        <v>2562</v>
      </c>
    </row>
    <row r="51" spans="1:12">
      <c r="A51" s="38" t="s">
        <v>2561</v>
      </c>
      <c r="B51" s="38" t="str">
        <f>"017446"</f>
        <v>017446</v>
      </c>
      <c r="C51" s="38" t="s">
        <v>3166</v>
      </c>
      <c r="D51" s="45">
        <v>0</v>
      </c>
      <c r="E51" s="45">
        <v>0</v>
      </c>
      <c r="F51" s="45">
        <f>'NonPublic Enrollment'!$E51*0.1</f>
        <v>0</v>
      </c>
      <c r="G51" s="45">
        <v>0</v>
      </c>
      <c r="H51" s="45">
        <f>'NonPublic Enrollment'!$G51*0.7374</f>
        <v>0</v>
      </c>
      <c r="I51" s="45">
        <v>0</v>
      </c>
      <c r="J51" s="45">
        <f>'NonPublic Enrollment'!$I51*0.2906</f>
        <v>0</v>
      </c>
      <c r="K51" s="45">
        <f>'NonPublic Enrollment'!$D51+'NonPublic Enrollment'!$F51+'NonPublic Enrollment'!$H51+'NonPublic Enrollment'!$J51</f>
        <v>0</v>
      </c>
      <c r="L51" s="39" t="s">
        <v>2949</v>
      </c>
    </row>
    <row r="52" spans="1:12">
      <c r="A52" s="36" t="s">
        <v>2561</v>
      </c>
      <c r="B52" s="36" t="str">
        <f>"017448"</f>
        <v>017448</v>
      </c>
      <c r="C52" s="36" t="s">
        <v>3165</v>
      </c>
      <c r="D52" s="44">
        <v>47</v>
      </c>
      <c r="E52" s="44">
        <v>0</v>
      </c>
      <c r="F52" s="44">
        <f>'NonPublic Enrollment'!$E52*0.1</f>
        <v>0</v>
      </c>
      <c r="G52" s="44">
        <v>0</v>
      </c>
      <c r="H52" s="44">
        <f>'NonPublic Enrollment'!$G52*0.7374</f>
        <v>0</v>
      </c>
      <c r="I52" s="44">
        <v>0</v>
      </c>
      <c r="J52" s="44">
        <f>'NonPublic Enrollment'!$I52*0.2906</f>
        <v>0</v>
      </c>
      <c r="K52" s="44">
        <f>'NonPublic Enrollment'!$D52+'NonPublic Enrollment'!$F52+'NonPublic Enrollment'!$H52+'NonPublic Enrollment'!$J52</f>
        <v>47</v>
      </c>
      <c r="L52" s="37" t="s">
        <v>2562</v>
      </c>
    </row>
    <row r="53" spans="1:12">
      <c r="A53" s="38" t="s">
        <v>2561</v>
      </c>
      <c r="B53" s="38" t="str">
        <f>"017460"</f>
        <v>017460</v>
      </c>
      <c r="C53" s="38" t="s">
        <v>2686</v>
      </c>
      <c r="D53" s="45">
        <v>13</v>
      </c>
      <c r="E53" s="45">
        <v>0</v>
      </c>
      <c r="F53" s="45">
        <f>'NonPublic Enrollment'!$E53*0.1</f>
        <v>0</v>
      </c>
      <c r="G53" s="45">
        <v>0</v>
      </c>
      <c r="H53" s="45">
        <f>'NonPublic Enrollment'!$G53*0.7374</f>
        <v>0</v>
      </c>
      <c r="I53" s="45">
        <v>0</v>
      </c>
      <c r="J53" s="45">
        <f>'NonPublic Enrollment'!$I53*0.2906</f>
        <v>0</v>
      </c>
      <c r="K53" s="45">
        <f>'NonPublic Enrollment'!$D53+'NonPublic Enrollment'!$F53+'NonPublic Enrollment'!$H53+'NonPublic Enrollment'!$J53</f>
        <v>13</v>
      </c>
      <c r="L53" s="39" t="s">
        <v>2562</v>
      </c>
    </row>
    <row r="54" spans="1:12">
      <c r="A54" s="36" t="s">
        <v>2561</v>
      </c>
      <c r="B54" s="36" t="str">
        <f>"017506"</f>
        <v>017506</v>
      </c>
      <c r="C54" s="36" t="s">
        <v>3164</v>
      </c>
      <c r="D54" s="44">
        <v>0</v>
      </c>
      <c r="E54" s="44">
        <v>0</v>
      </c>
      <c r="F54" s="44">
        <f>'NonPublic Enrollment'!$E54*0.1</f>
        <v>0</v>
      </c>
      <c r="G54" s="44">
        <v>0</v>
      </c>
      <c r="H54" s="44">
        <f>'NonPublic Enrollment'!$G54*0.7374</f>
        <v>0</v>
      </c>
      <c r="I54" s="44">
        <v>0</v>
      </c>
      <c r="J54" s="44">
        <f>'NonPublic Enrollment'!$I54*0.2906</f>
        <v>0</v>
      </c>
      <c r="K54" s="44">
        <f>'NonPublic Enrollment'!$D54+'NonPublic Enrollment'!$F54+'NonPublic Enrollment'!$H54+'NonPublic Enrollment'!$J54</f>
        <v>0</v>
      </c>
      <c r="L54" s="37" t="s">
        <v>2949</v>
      </c>
    </row>
    <row r="55" spans="1:12">
      <c r="A55" s="38" t="s">
        <v>2561</v>
      </c>
      <c r="B55" s="38" t="str">
        <f>"017507"</f>
        <v>017507</v>
      </c>
      <c r="C55" s="38" t="s">
        <v>2836</v>
      </c>
      <c r="D55" s="45">
        <v>0</v>
      </c>
      <c r="E55" s="45">
        <v>0</v>
      </c>
      <c r="F55" s="45">
        <f>'NonPublic Enrollment'!$E55*0.1</f>
        <v>0</v>
      </c>
      <c r="G55" s="45">
        <v>0</v>
      </c>
      <c r="H55" s="45">
        <f>'NonPublic Enrollment'!$G55*0.7374</f>
        <v>0</v>
      </c>
      <c r="I55" s="45">
        <v>0</v>
      </c>
      <c r="J55" s="45">
        <f>'NonPublic Enrollment'!$I55*0.2906</f>
        <v>0</v>
      </c>
      <c r="K55" s="45">
        <f>'NonPublic Enrollment'!$D55+'NonPublic Enrollment'!$F55+'NonPublic Enrollment'!$H55+'NonPublic Enrollment'!$J55</f>
        <v>0</v>
      </c>
      <c r="L55" s="39" t="s">
        <v>2949</v>
      </c>
    </row>
    <row r="56" spans="1:12">
      <c r="A56" s="36" t="s">
        <v>2561</v>
      </c>
      <c r="B56" s="36" t="str">
        <f>"017508"</f>
        <v>017508</v>
      </c>
      <c r="C56" s="36" t="s">
        <v>3163</v>
      </c>
      <c r="D56" s="44">
        <v>0</v>
      </c>
      <c r="E56" s="44">
        <v>0</v>
      </c>
      <c r="F56" s="44">
        <f>'NonPublic Enrollment'!$E56*0.1</f>
        <v>0</v>
      </c>
      <c r="G56" s="44">
        <v>0</v>
      </c>
      <c r="H56" s="44">
        <f>'NonPublic Enrollment'!$G56*0.7374</f>
        <v>0</v>
      </c>
      <c r="I56" s="44">
        <v>0</v>
      </c>
      <c r="J56" s="44">
        <f>'NonPublic Enrollment'!$I56*0.2906</f>
        <v>0</v>
      </c>
      <c r="K56" s="44">
        <f>'NonPublic Enrollment'!$D56+'NonPublic Enrollment'!$F56+'NonPublic Enrollment'!$H56+'NonPublic Enrollment'!$J56</f>
        <v>0</v>
      </c>
      <c r="L56" s="37" t="s">
        <v>2949</v>
      </c>
    </row>
    <row r="57" spans="1:12">
      <c r="A57" s="38" t="s">
        <v>2561</v>
      </c>
      <c r="B57" s="38" t="str">
        <f>"017545"</f>
        <v>017545</v>
      </c>
      <c r="C57" s="38" t="s">
        <v>2602</v>
      </c>
      <c r="D57" s="45">
        <v>0</v>
      </c>
      <c r="E57" s="45">
        <v>0</v>
      </c>
      <c r="F57" s="45">
        <f>'NonPublic Enrollment'!$E57*0.1</f>
        <v>0</v>
      </c>
      <c r="G57" s="45">
        <v>0</v>
      </c>
      <c r="H57" s="45">
        <f>'NonPublic Enrollment'!$G57*0.7374</f>
        <v>0</v>
      </c>
      <c r="I57" s="45">
        <v>0</v>
      </c>
      <c r="J57" s="45">
        <f>'NonPublic Enrollment'!$I57*0.2906</f>
        <v>0</v>
      </c>
      <c r="K57" s="45">
        <f>'NonPublic Enrollment'!$D57+'NonPublic Enrollment'!$F57+'NonPublic Enrollment'!$H57+'NonPublic Enrollment'!$J57</f>
        <v>0</v>
      </c>
      <c r="L57" s="39" t="s">
        <v>2595</v>
      </c>
    </row>
    <row r="58" spans="1:12">
      <c r="A58" s="36" t="s">
        <v>2561</v>
      </c>
      <c r="B58" s="36" t="str">
        <f>"017611"</f>
        <v>017611</v>
      </c>
      <c r="C58" s="36" t="s">
        <v>3162</v>
      </c>
      <c r="D58" s="44">
        <v>37</v>
      </c>
      <c r="E58" s="44">
        <v>0</v>
      </c>
      <c r="F58" s="44">
        <f>'NonPublic Enrollment'!$E58*0.1</f>
        <v>0</v>
      </c>
      <c r="G58" s="44">
        <v>0</v>
      </c>
      <c r="H58" s="44">
        <f>'NonPublic Enrollment'!$G58*0.7374</f>
        <v>0</v>
      </c>
      <c r="I58" s="44">
        <v>0</v>
      </c>
      <c r="J58" s="44">
        <f>'NonPublic Enrollment'!$I58*0.2906</f>
        <v>0</v>
      </c>
      <c r="K58" s="44">
        <f>'NonPublic Enrollment'!$D58+'NonPublic Enrollment'!$F58+'NonPublic Enrollment'!$H58+'NonPublic Enrollment'!$J58</f>
        <v>37</v>
      </c>
      <c r="L58" s="37" t="s">
        <v>2562</v>
      </c>
    </row>
    <row r="59" spans="1:12">
      <c r="A59" s="38" t="s">
        <v>2561</v>
      </c>
      <c r="B59" s="38" t="str">
        <f>"017838"</f>
        <v>017838</v>
      </c>
      <c r="C59" s="38" t="s">
        <v>3161</v>
      </c>
      <c r="D59" s="45">
        <v>91</v>
      </c>
      <c r="E59" s="45">
        <v>0</v>
      </c>
      <c r="F59" s="45">
        <f>'NonPublic Enrollment'!$E59*0.1</f>
        <v>0</v>
      </c>
      <c r="G59" s="45">
        <v>0</v>
      </c>
      <c r="H59" s="45">
        <f>'NonPublic Enrollment'!$G59*0.7374</f>
        <v>0</v>
      </c>
      <c r="I59" s="45">
        <v>0</v>
      </c>
      <c r="J59" s="45">
        <f>'NonPublic Enrollment'!$I59*0.2906</f>
        <v>0</v>
      </c>
      <c r="K59" s="45">
        <f>'NonPublic Enrollment'!$D59+'NonPublic Enrollment'!$F59+'NonPublic Enrollment'!$H59+'NonPublic Enrollment'!$J59</f>
        <v>91</v>
      </c>
      <c r="L59" s="39" t="s">
        <v>2562</v>
      </c>
    </row>
    <row r="60" spans="1:12">
      <c r="A60" s="36" t="s">
        <v>2561</v>
      </c>
      <c r="B60" s="36" t="str">
        <f>"018018"</f>
        <v>018018</v>
      </c>
      <c r="C60" s="36" t="s">
        <v>3160</v>
      </c>
      <c r="D60" s="44">
        <v>0</v>
      </c>
      <c r="E60" s="44">
        <v>0</v>
      </c>
      <c r="F60" s="44">
        <f>'NonPublic Enrollment'!$E60*0.1</f>
        <v>0</v>
      </c>
      <c r="G60" s="44">
        <v>0</v>
      </c>
      <c r="H60" s="44">
        <f>'NonPublic Enrollment'!$G60*0.7374</f>
        <v>0</v>
      </c>
      <c r="I60" s="44">
        <v>0</v>
      </c>
      <c r="J60" s="44">
        <f>'NonPublic Enrollment'!$I60*0.2906</f>
        <v>0</v>
      </c>
      <c r="K60" s="44">
        <f>'NonPublic Enrollment'!$D60+'NonPublic Enrollment'!$F60+'NonPublic Enrollment'!$H60+'NonPublic Enrollment'!$J60</f>
        <v>0</v>
      </c>
      <c r="L60" s="37" t="s">
        <v>2949</v>
      </c>
    </row>
    <row r="61" spans="1:12">
      <c r="A61" s="38" t="s">
        <v>2561</v>
      </c>
      <c r="B61" s="38" t="str">
        <f>"018588"</f>
        <v>018588</v>
      </c>
      <c r="C61" s="38" t="s">
        <v>3159</v>
      </c>
      <c r="D61" s="45">
        <v>0</v>
      </c>
      <c r="E61" s="45">
        <v>0</v>
      </c>
      <c r="F61" s="45">
        <f>'NonPublic Enrollment'!$E61*0.1</f>
        <v>0</v>
      </c>
      <c r="G61" s="45">
        <v>0</v>
      </c>
      <c r="H61" s="45">
        <f>'NonPublic Enrollment'!$G61*0.7374</f>
        <v>0</v>
      </c>
      <c r="I61" s="45">
        <v>0</v>
      </c>
      <c r="J61" s="45">
        <f>'NonPublic Enrollment'!$I61*0.2906</f>
        <v>0</v>
      </c>
      <c r="K61" s="45">
        <f>'NonPublic Enrollment'!$D61+'NonPublic Enrollment'!$F61+'NonPublic Enrollment'!$H61+'NonPublic Enrollment'!$J61</f>
        <v>0</v>
      </c>
      <c r="L61" s="39" t="s">
        <v>2949</v>
      </c>
    </row>
    <row r="62" spans="1:12">
      <c r="A62" s="36" t="s">
        <v>2561</v>
      </c>
      <c r="B62" s="36" t="str">
        <f>"018997"</f>
        <v>018997</v>
      </c>
      <c r="C62" s="36" t="s">
        <v>3158</v>
      </c>
      <c r="D62" s="44">
        <v>0</v>
      </c>
      <c r="E62" s="44">
        <v>0</v>
      </c>
      <c r="F62" s="44">
        <f>'NonPublic Enrollment'!$E62*0.1</f>
        <v>0</v>
      </c>
      <c r="G62" s="44">
        <v>0</v>
      </c>
      <c r="H62" s="44">
        <f>'NonPublic Enrollment'!$G62*0.7374</f>
        <v>0</v>
      </c>
      <c r="I62" s="44">
        <v>0</v>
      </c>
      <c r="J62" s="44">
        <f>'NonPublic Enrollment'!$I62*0.2906</f>
        <v>0</v>
      </c>
      <c r="K62" s="44">
        <f>'NonPublic Enrollment'!$D62+'NonPublic Enrollment'!$F62+'NonPublic Enrollment'!$H62+'NonPublic Enrollment'!$J62</f>
        <v>0</v>
      </c>
      <c r="L62" s="37" t="s">
        <v>2949</v>
      </c>
    </row>
    <row r="63" spans="1:12">
      <c r="A63" s="38" t="s">
        <v>2561</v>
      </c>
      <c r="B63" s="38" t="str">
        <f>"019039"</f>
        <v>019039</v>
      </c>
      <c r="C63" s="38" t="s">
        <v>3157</v>
      </c>
      <c r="D63" s="45">
        <v>0</v>
      </c>
      <c r="E63" s="45">
        <v>0</v>
      </c>
      <c r="F63" s="45">
        <f>'NonPublic Enrollment'!$E63*0.1</f>
        <v>0</v>
      </c>
      <c r="G63" s="45">
        <v>0</v>
      </c>
      <c r="H63" s="45">
        <f>'NonPublic Enrollment'!$G63*0.7374</f>
        <v>0</v>
      </c>
      <c r="I63" s="45">
        <v>0</v>
      </c>
      <c r="J63" s="45">
        <f>'NonPublic Enrollment'!$I63*0.2906</f>
        <v>0</v>
      </c>
      <c r="K63" s="45">
        <f>'NonPublic Enrollment'!$D63+'NonPublic Enrollment'!$F63+'NonPublic Enrollment'!$H63+'NonPublic Enrollment'!$J63</f>
        <v>0</v>
      </c>
      <c r="L63" s="39" t="s">
        <v>2949</v>
      </c>
    </row>
    <row r="64" spans="1:12">
      <c r="A64" s="36" t="s">
        <v>2561</v>
      </c>
      <c r="B64" s="36" t="str">
        <f>"019081"</f>
        <v>019081</v>
      </c>
      <c r="C64" s="36" t="s">
        <v>3156</v>
      </c>
      <c r="D64" s="44">
        <v>0</v>
      </c>
      <c r="E64" s="44">
        <v>0</v>
      </c>
      <c r="F64" s="44">
        <f>'NonPublic Enrollment'!$E64*0.1</f>
        <v>0</v>
      </c>
      <c r="G64" s="44">
        <v>0</v>
      </c>
      <c r="H64" s="44">
        <f>'NonPublic Enrollment'!$G64*0.7374</f>
        <v>0</v>
      </c>
      <c r="I64" s="44">
        <v>0</v>
      </c>
      <c r="J64" s="44">
        <f>'NonPublic Enrollment'!$I64*0.2906</f>
        <v>0</v>
      </c>
      <c r="K64" s="44">
        <f>'NonPublic Enrollment'!$D64+'NonPublic Enrollment'!$F64+'NonPublic Enrollment'!$H64+'NonPublic Enrollment'!$J64</f>
        <v>0</v>
      </c>
      <c r="L64" s="37" t="s">
        <v>2949</v>
      </c>
    </row>
    <row r="65" spans="1:12">
      <c r="A65" s="38" t="s">
        <v>2561</v>
      </c>
      <c r="B65" s="38" t="str">
        <f>"019086"</f>
        <v>019086</v>
      </c>
      <c r="C65" s="38" t="s">
        <v>3155</v>
      </c>
      <c r="D65" s="45">
        <v>0</v>
      </c>
      <c r="E65" s="45">
        <v>0</v>
      </c>
      <c r="F65" s="45">
        <f>'NonPublic Enrollment'!$E65*0.1</f>
        <v>0</v>
      </c>
      <c r="G65" s="45">
        <v>0</v>
      </c>
      <c r="H65" s="45">
        <f>'NonPublic Enrollment'!$G65*0.7374</f>
        <v>0</v>
      </c>
      <c r="I65" s="45">
        <v>0</v>
      </c>
      <c r="J65" s="45">
        <f>'NonPublic Enrollment'!$I65*0.2906</f>
        <v>0</v>
      </c>
      <c r="K65" s="45">
        <f>'NonPublic Enrollment'!$D65+'NonPublic Enrollment'!$F65+'NonPublic Enrollment'!$H65+'NonPublic Enrollment'!$J65</f>
        <v>0</v>
      </c>
      <c r="L65" s="39" t="s">
        <v>2949</v>
      </c>
    </row>
    <row r="66" spans="1:12">
      <c r="A66" s="36" t="s">
        <v>2561</v>
      </c>
      <c r="B66" s="36" t="str">
        <f>"019097"</f>
        <v>019097</v>
      </c>
      <c r="C66" s="36" t="s">
        <v>3154</v>
      </c>
      <c r="D66" s="44">
        <v>0</v>
      </c>
      <c r="E66" s="44">
        <v>0</v>
      </c>
      <c r="F66" s="44">
        <f>'NonPublic Enrollment'!$E66*0.1</f>
        <v>0</v>
      </c>
      <c r="G66" s="44">
        <v>0</v>
      </c>
      <c r="H66" s="44">
        <f>'NonPublic Enrollment'!$G66*0.7374</f>
        <v>0</v>
      </c>
      <c r="I66" s="44">
        <v>0</v>
      </c>
      <c r="J66" s="44">
        <f>'NonPublic Enrollment'!$I66*0.2906</f>
        <v>0</v>
      </c>
      <c r="K66" s="44">
        <f>'NonPublic Enrollment'!$D66+'NonPublic Enrollment'!$F66+'NonPublic Enrollment'!$H66+'NonPublic Enrollment'!$J66</f>
        <v>0</v>
      </c>
      <c r="L66" s="37" t="s">
        <v>2949</v>
      </c>
    </row>
    <row r="67" spans="1:12">
      <c r="A67" s="38" t="s">
        <v>2561</v>
      </c>
      <c r="B67" s="38" t="str">
        <f>"019139"</f>
        <v>019139</v>
      </c>
      <c r="C67" s="38" t="s">
        <v>3153</v>
      </c>
      <c r="D67" s="45">
        <v>0</v>
      </c>
      <c r="E67" s="45">
        <v>0</v>
      </c>
      <c r="F67" s="45">
        <f>'NonPublic Enrollment'!$E67*0.1</f>
        <v>0</v>
      </c>
      <c r="G67" s="45">
        <v>0</v>
      </c>
      <c r="H67" s="45">
        <f>'NonPublic Enrollment'!$G67*0.7374</f>
        <v>0</v>
      </c>
      <c r="I67" s="45">
        <v>0</v>
      </c>
      <c r="J67" s="45">
        <f>'NonPublic Enrollment'!$I67*0.2906</f>
        <v>0</v>
      </c>
      <c r="K67" s="45">
        <f>'NonPublic Enrollment'!$D67+'NonPublic Enrollment'!$F67+'NonPublic Enrollment'!$H67+'NonPublic Enrollment'!$J67</f>
        <v>0</v>
      </c>
      <c r="L67" s="39" t="s">
        <v>2949</v>
      </c>
    </row>
    <row r="68" spans="1:12">
      <c r="A68" s="36" t="s">
        <v>2561</v>
      </c>
      <c r="B68" s="36" t="str">
        <f>"019214"</f>
        <v>019214</v>
      </c>
      <c r="C68" s="36" t="s">
        <v>3152</v>
      </c>
      <c r="D68" s="44">
        <v>3</v>
      </c>
      <c r="E68" s="44">
        <v>0</v>
      </c>
      <c r="F68" s="44">
        <f>'NonPublic Enrollment'!$E68*0.1</f>
        <v>0</v>
      </c>
      <c r="G68" s="44">
        <v>0</v>
      </c>
      <c r="H68" s="44">
        <f>'NonPublic Enrollment'!$G68*0.7374</f>
        <v>0</v>
      </c>
      <c r="I68" s="44">
        <v>0</v>
      </c>
      <c r="J68" s="44">
        <f>'NonPublic Enrollment'!$I68*0.2906</f>
        <v>0</v>
      </c>
      <c r="K68" s="44">
        <f>'NonPublic Enrollment'!$D68+'NonPublic Enrollment'!$F68+'NonPublic Enrollment'!$H68+'NonPublic Enrollment'!$J68</f>
        <v>3</v>
      </c>
      <c r="L68" s="37" t="s">
        <v>3151</v>
      </c>
    </row>
    <row r="69" spans="1:12">
      <c r="A69" s="38" t="s">
        <v>2561</v>
      </c>
      <c r="B69" s="38" t="str">
        <f>"019222"</f>
        <v>019222</v>
      </c>
      <c r="C69" s="38" t="s">
        <v>3150</v>
      </c>
      <c r="D69" s="45">
        <v>0</v>
      </c>
      <c r="E69" s="45">
        <v>0</v>
      </c>
      <c r="F69" s="45">
        <f>'NonPublic Enrollment'!$E69*0.1</f>
        <v>0</v>
      </c>
      <c r="G69" s="45">
        <v>0</v>
      </c>
      <c r="H69" s="45">
        <f>'NonPublic Enrollment'!$G69*0.7374</f>
        <v>0</v>
      </c>
      <c r="I69" s="45">
        <v>0</v>
      </c>
      <c r="J69" s="45">
        <f>'NonPublic Enrollment'!$I69*0.2906</f>
        <v>0</v>
      </c>
      <c r="K69" s="45">
        <f>'NonPublic Enrollment'!$D69+'NonPublic Enrollment'!$F69+'NonPublic Enrollment'!$H69+'NonPublic Enrollment'!$J69</f>
        <v>0</v>
      </c>
      <c r="L69" s="39" t="s">
        <v>2949</v>
      </c>
    </row>
    <row r="70" spans="1:12">
      <c r="A70" s="36" t="s">
        <v>2561</v>
      </c>
      <c r="B70" s="36" t="str">
        <f>"052894"</f>
        <v>052894</v>
      </c>
      <c r="C70" s="36" t="s">
        <v>3149</v>
      </c>
      <c r="D70" s="44">
        <v>688</v>
      </c>
      <c r="E70" s="44">
        <v>0</v>
      </c>
      <c r="F70" s="44">
        <f>'NonPublic Enrollment'!$E70*0.1</f>
        <v>0</v>
      </c>
      <c r="G70" s="44">
        <v>0</v>
      </c>
      <c r="H70" s="44">
        <f>'NonPublic Enrollment'!$G70*0.7374</f>
        <v>0</v>
      </c>
      <c r="I70" s="44">
        <v>0</v>
      </c>
      <c r="J70" s="44">
        <f>'NonPublic Enrollment'!$I70*0.2906</f>
        <v>0</v>
      </c>
      <c r="K70" s="44">
        <f>'NonPublic Enrollment'!$D70+'NonPublic Enrollment'!$F70+'NonPublic Enrollment'!$H70+'NonPublic Enrollment'!$J70</f>
        <v>688</v>
      </c>
      <c r="L70" s="37" t="s">
        <v>2562</v>
      </c>
    </row>
    <row r="71" spans="1:12">
      <c r="A71" s="38" t="s">
        <v>2561</v>
      </c>
      <c r="B71" s="38" t="str">
        <f>"052902"</f>
        <v>052902</v>
      </c>
      <c r="C71" s="38" t="s">
        <v>3148</v>
      </c>
      <c r="D71" s="45">
        <v>844</v>
      </c>
      <c r="E71" s="45">
        <v>0</v>
      </c>
      <c r="F71" s="45">
        <f>'NonPublic Enrollment'!$E71*0.1</f>
        <v>0</v>
      </c>
      <c r="G71" s="45">
        <v>0</v>
      </c>
      <c r="H71" s="45">
        <f>'NonPublic Enrollment'!$G71*0.7374</f>
        <v>0</v>
      </c>
      <c r="I71" s="45">
        <v>0</v>
      </c>
      <c r="J71" s="45">
        <f>'NonPublic Enrollment'!$I71*0.2906</f>
        <v>0</v>
      </c>
      <c r="K71" s="45">
        <f>'NonPublic Enrollment'!$D71+'NonPublic Enrollment'!$F71+'NonPublic Enrollment'!$H71+'NonPublic Enrollment'!$J71</f>
        <v>844</v>
      </c>
      <c r="L71" s="39" t="s">
        <v>2562</v>
      </c>
    </row>
    <row r="72" spans="1:12">
      <c r="A72" s="36" t="s">
        <v>2561</v>
      </c>
      <c r="B72" s="36" t="str">
        <f>"052910"</f>
        <v>052910</v>
      </c>
      <c r="C72" s="36" t="s">
        <v>3147</v>
      </c>
      <c r="D72" s="44">
        <v>1069</v>
      </c>
      <c r="E72" s="44">
        <v>0</v>
      </c>
      <c r="F72" s="44">
        <f>'NonPublic Enrollment'!$E72*0.1</f>
        <v>0</v>
      </c>
      <c r="G72" s="44">
        <v>0</v>
      </c>
      <c r="H72" s="44">
        <f>'NonPublic Enrollment'!$G72*0.7374</f>
        <v>0</v>
      </c>
      <c r="I72" s="44">
        <v>0</v>
      </c>
      <c r="J72" s="44">
        <f>'NonPublic Enrollment'!$I72*0.2906</f>
        <v>0</v>
      </c>
      <c r="K72" s="44">
        <f>'NonPublic Enrollment'!$D72+'NonPublic Enrollment'!$F72+'NonPublic Enrollment'!$H72+'NonPublic Enrollment'!$J72</f>
        <v>1069</v>
      </c>
      <c r="L72" s="37" t="s">
        <v>2562</v>
      </c>
    </row>
    <row r="73" spans="1:12">
      <c r="A73" s="38" t="s">
        <v>2561</v>
      </c>
      <c r="B73" s="38" t="str">
        <f>"052928"</f>
        <v>052928</v>
      </c>
      <c r="C73" s="38" t="s">
        <v>3146</v>
      </c>
      <c r="D73" s="45">
        <v>504</v>
      </c>
      <c r="E73" s="45">
        <v>0</v>
      </c>
      <c r="F73" s="45">
        <f>'NonPublic Enrollment'!$E73*0.1</f>
        <v>0</v>
      </c>
      <c r="G73" s="45">
        <v>0</v>
      </c>
      <c r="H73" s="45">
        <f>'NonPublic Enrollment'!$G73*0.7374</f>
        <v>0</v>
      </c>
      <c r="I73" s="45">
        <v>0</v>
      </c>
      <c r="J73" s="45">
        <f>'NonPublic Enrollment'!$I73*0.2906</f>
        <v>0</v>
      </c>
      <c r="K73" s="45">
        <f>'NonPublic Enrollment'!$D73+'NonPublic Enrollment'!$F73+'NonPublic Enrollment'!$H73+'NonPublic Enrollment'!$J73</f>
        <v>504</v>
      </c>
      <c r="L73" s="39" t="s">
        <v>2562</v>
      </c>
    </row>
    <row r="74" spans="1:12">
      <c r="A74" s="36" t="s">
        <v>2561</v>
      </c>
      <c r="B74" s="36" t="str">
        <f>"052936"</f>
        <v>052936</v>
      </c>
      <c r="C74" s="36" t="s">
        <v>3145</v>
      </c>
      <c r="D74" s="44">
        <v>429</v>
      </c>
      <c r="E74" s="44">
        <v>0</v>
      </c>
      <c r="F74" s="44">
        <f>'NonPublic Enrollment'!$E74*0.1</f>
        <v>0</v>
      </c>
      <c r="G74" s="44">
        <v>0</v>
      </c>
      <c r="H74" s="44">
        <f>'NonPublic Enrollment'!$G74*0.7374</f>
        <v>0</v>
      </c>
      <c r="I74" s="44">
        <v>0</v>
      </c>
      <c r="J74" s="44">
        <f>'NonPublic Enrollment'!$I74*0.2906</f>
        <v>0</v>
      </c>
      <c r="K74" s="44">
        <f>'NonPublic Enrollment'!$D74+'NonPublic Enrollment'!$F74+'NonPublic Enrollment'!$H74+'NonPublic Enrollment'!$J74</f>
        <v>429</v>
      </c>
      <c r="L74" s="37" t="s">
        <v>2562</v>
      </c>
    </row>
    <row r="75" spans="1:12">
      <c r="A75" s="38" t="s">
        <v>2561</v>
      </c>
      <c r="B75" s="38" t="str">
        <f>"052985"</f>
        <v>052985</v>
      </c>
      <c r="C75" s="38" t="s">
        <v>3144</v>
      </c>
      <c r="D75" s="45">
        <v>9</v>
      </c>
      <c r="E75" s="45">
        <v>0</v>
      </c>
      <c r="F75" s="45">
        <f>'NonPublic Enrollment'!$E75*0.1</f>
        <v>0</v>
      </c>
      <c r="G75" s="45">
        <v>0</v>
      </c>
      <c r="H75" s="45">
        <f>'NonPublic Enrollment'!$G75*0.7374</f>
        <v>0</v>
      </c>
      <c r="I75" s="45">
        <v>0</v>
      </c>
      <c r="J75" s="45">
        <f>'NonPublic Enrollment'!$I75*0.2906</f>
        <v>0</v>
      </c>
      <c r="K75" s="45">
        <f>'NonPublic Enrollment'!$D75+'NonPublic Enrollment'!$F75+'NonPublic Enrollment'!$H75+'NonPublic Enrollment'!$J75</f>
        <v>9</v>
      </c>
      <c r="L75" s="39" t="s">
        <v>2562</v>
      </c>
    </row>
    <row r="76" spans="1:12">
      <c r="A76" s="36" t="s">
        <v>2561</v>
      </c>
      <c r="B76" s="36" t="str">
        <f>"052993"</f>
        <v>052993</v>
      </c>
      <c r="C76" s="36" t="s">
        <v>3143</v>
      </c>
      <c r="D76" s="44">
        <v>552</v>
      </c>
      <c r="E76" s="44">
        <v>0</v>
      </c>
      <c r="F76" s="44">
        <f>'NonPublic Enrollment'!$E76*0.1</f>
        <v>0</v>
      </c>
      <c r="G76" s="44">
        <v>0</v>
      </c>
      <c r="H76" s="44">
        <f>'NonPublic Enrollment'!$G76*0.7374</f>
        <v>0</v>
      </c>
      <c r="I76" s="44">
        <v>0</v>
      </c>
      <c r="J76" s="44">
        <f>'NonPublic Enrollment'!$I76*0.2906</f>
        <v>0</v>
      </c>
      <c r="K76" s="44">
        <f>'NonPublic Enrollment'!$D76+'NonPublic Enrollment'!$F76+'NonPublic Enrollment'!$H76+'NonPublic Enrollment'!$J76</f>
        <v>552</v>
      </c>
      <c r="L76" s="37" t="s">
        <v>2562</v>
      </c>
    </row>
    <row r="77" spans="1:12">
      <c r="A77" s="38" t="s">
        <v>2561</v>
      </c>
      <c r="B77" s="38" t="str">
        <f>"053033"</f>
        <v>053033</v>
      </c>
      <c r="C77" s="38" t="s">
        <v>3142</v>
      </c>
      <c r="D77" s="45">
        <v>690</v>
      </c>
      <c r="E77" s="45">
        <v>0</v>
      </c>
      <c r="F77" s="45">
        <f>'NonPublic Enrollment'!$E77*0.1</f>
        <v>0</v>
      </c>
      <c r="G77" s="45">
        <v>0</v>
      </c>
      <c r="H77" s="45">
        <f>'NonPublic Enrollment'!$G77*0.7374</f>
        <v>0</v>
      </c>
      <c r="I77" s="45">
        <v>0</v>
      </c>
      <c r="J77" s="45">
        <f>'NonPublic Enrollment'!$I77*0.2906</f>
        <v>0</v>
      </c>
      <c r="K77" s="45">
        <f>'NonPublic Enrollment'!$D77+'NonPublic Enrollment'!$F77+'NonPublic Enrollment'!$H77+'NonPublic Enrollment'!$J77</f>
        <v>690</v>
      </c>
      <c r="L77" s="39" t="s">
        <v>2562</v>
      </c>
    </row>
    <row r="78" spans="1:12">
      <c r="A78" s="36" t="s">
        <v>2561</v>
      </c>
      <c r="B78" s="36" t="str">
        <f>"053041"</f>
        <v>053041</v>
      </c>
      <c r="C78" s="36" t="s">
        <v>3141</v>
      </c>
      <c r="D78" s="44">
        <v>532</v>
      </c>
      <c r="E78" s="44">
        <v>0</v>
      </c>
      <c r="F78" s="44">
        <f>'NonPublic Enrollment'!$E78*0.1</f>
        <v>0</v>
      </c>
      <c r="G78" s="44">
        <v>0</v>
      </c>
      <c r="H78" s="44">
        <f>'NonPublic Enrollment'!$G78*0.7374</f>
        <v>0</v>
      </c>
      <c r="I78" s="44">
        <v>0</v>
      </c>
      <c r="J78" s="44">
        <f>'NonPublic Enrollment'!$I78*0.2906</f>
        <v>0</v>
      </c>
      <c r="K78" s="44">
        <f>'NonPublic Enrollment'!$D78+'NonPublic Enrollment'!$F78+'NonPublic Enrollment'!$H78+'NonPublic Enrollment'!$J78</f>
        <v>532</v>
      </c>
      <c r="L78" s="37" t="s">
        <v>2562</v>
      </c>
    </row>
    <row r="79" spans="1:12">
      <c r="A79" s="38" t="s">
        <v>2561</v>
      </c>
      <c r="B79" s="38" t="str">
        <f>"053207"</f>
        <v>053207</v>
      </c>
      <c r="C79" s="38" t="s">
        <v>3140</v>
      </c>
      <c r="D79" s="45">
        <v>500</v>
      </c>
      <c r="E79" s="45">
        <v>0</v>
      </c>
      <c r="F79" s="45">
        <f>'NonPublic Enrollment'!$E79*0.1</f>
        <v>0</v>
      </c>
      <c r="G79" s="45">
        <v>0</v>
      </c>
      <c r="H79" s="45">
        <f>'NonPublic Enrollment'!$G79*0.7374</f>
        <v>0</v>
      </c>
      <c r="I79" s="45">
        <v>0</v>
      </c>
      <c r="J79" s="45">
        <f>'NonPublic Enrollment'!$I79*0.2906</f>
        <v>0</v>
      </c>
      <c r="K79" s="45">
        <f>'NonPublic Enrollment'!$D79+'NonPublic Enrollment'!$F79+'NonPublic Enrollment'!$H79+'NonPublic Enrollment'!$J79</f>
        <v>500</v>
      </c>
      <c r="L79" s="39" t="s">
        <v>2562</v>
      </c>
    </row>
    <row r="80" spans="1:12">
      <c r="A80" s="36" t="s">
        <v>2561</v>
      </c>
      <c r="B80" s="36" t="str">
        <f>"053652"</f>
        <v>053652</v>
      </c>
      <c r="C80" s="36" t="s">
        <v>3139</v>
      </c>
      <c r="D80" s="44">
        <v>0</v>
      </c>
      <c r="E80" s="44">
        <v>0</v>
      </c>
      <c r="F80" s="44">
        <f>'NonPublic Enrollment'!$E80*0.1</f>
        <v>0</v>
      </c>
      <c r="G80" s="44">
        <v>0</v>
      </c>
      <c r="H80" s="44">
        <f>'NonPublic Enrollment'!$G80*0.7374</f>
        <v>0</v>
      </c>
      <c r="I80" s="44">
        <v>0</v>
      </c>
      <c r="J80" s="44">
        <f>'NonPublic Enrollment'!$I80*0.2906</f>
        <v>0</v>
      </c>
      <c r="K80" s="44">
        <f>'NonPublic Enrollment'!$D80+'NonPublic Enrollment'!$F80+'NonPublic Enrollment'!$H80+'NonPublic Enrollment'!$J80</f>
        <v>0</v>
      </c>
      <c r="L80" s="37" t="s">
        <v>2949</v>
      </c>
    </row>
    <row r="81" spans="1:12">
      <c r="A81" s="38" t="s">
        <v>2561</v>
      </c>
      <c r="B81" s="38" t="str">
        <f>"053918"</f>
        <v>053918</v>
      </c>
      <c r="C81" s="38" t="s">
        <v>3138</v>
      </c>
      <c r="D81" s="45">
        <v>129</v>
      </c>
      <c r="E81" s="45">
        <v>0</v>
      </c>
      <c r="F81" s="45">
        <f>'NonPublic Enrollment'!$E81*0.1</f>
        <v>0</v>
      </c>
      <c r="G81" s="45">
        <v>0</v>
      </c>
      <c r="H81" s="45">
        <f>'NonPublic Enrollment'!$G81*0.7374</f>
        <v>0</v>
      </c>
      <c r="I81" s="45">
        <v>0</v>
      </c>
      <c r="J81" s="45">
        <f>'NonPublic Enrollment'!$I81*0.2906</f>
        <v>0</v>
      </c>
      <c r="K81" s="45">
        <f>'NonPublic Enrollment'!$D81+'NonPublic Enrollment'!$F81+'NonPublic Enrollment'!$H81+'NonPublic Enrollment'!$J81</f>
        <v>129</v>
      </c>
      <c r="L81" s="39" t="s">
        <v>2562</v>
      </c>
    </row>
    <row r="82" spans="1:12">
      <c r="A82" s="36" t="s">
        <v>2561</v>
      </c>
      <c r="B82" s="36" t="str">
        <f>"053926"</f>
        <v>053926</v>
      </c>
      <c r="C82" s="36" t="s">
        <v>3137</v>
      </c>
      <c r="D82" s="44">
        <v>419</v>
      </c>
      <c r="E82" s="44">
        <v>0</v>
      </c>
      <c r="F82" s="44">
        <f>'NonPublic Enrollment'!$E82*0.1</f>
        <v>0</v>
      </c>
      <c r="G82" s="44">
        <v>0</v>
      </c>
      <c r="H82" s="44">
        <f>'NonPublic Enrollment'!$G82*0.7374</f>
        <v>0</v>
      </c>
      <c r="I82" s="44">
        <v>0</v>
      </c>
      <c r="J82" s="44">
        <f>'NonPublic Enrollment'!$I82*0.2906</f>
        <v>0</v>
      </c>
      <c r="K82" s="44">
        <f>'NonPublic Enrollment'!$D82+'NonPublic Enrollment'!$F82+'NonPublic Enrollment'!$H82+'NonPublic Enrollment'!$J82</f>
        <v>419</v>
      </c>
      <c r="L82" s="37" t="s">
        <v>2562</v>
      </c>
    </row>
    <row r="83" spans="1:12">
      <c r="A83" s="38" t="s">
        <v>2561</v>
      </c>
      <c r="B83" s="38" t="str">
        <f>"053975"</f>
        <v>053975</v>
      </c>
      <c r="C83" s="38" t="s">
        <v>3136</v>
      </c>
      <c r="D83" s="45">
        <v>214</v>
      </c>
      <c r="E83" s="45">
        <v>0</v>
      </c>
      <c r="F83" s="45">
        <f>'NonPublic Enrollment'!$E83*0.1</f>
        <v>0</v>
      </c>
      <c r="G83" s="45">
        <v>0</v>
      </c>
      <c r="H83" s="45">
        <f>'NonPublic Enrollment'!$G83*0.7374</f>
        <v>0</v>
      </c>
      <c r="I83" s="45">
        <v>0</v>
      </c>
      <c r="J83" s="45">
        <f>'NonPublic Enrollment'!$I83*0.2906</f>
        <v>0</v>
      </c>
      <c r="K83" s="45">
        <f>'NonPublic Enrollment'!$D83+'NonPublic Enrollment'!$F83+'NonPublic Enrollment'!$H83+'NonPublic Enrollment'!$J83</f>
        <v>214</v>
      </c>
      <c r="L83" s="39" t="s">
        <v>2562</v>
      </c>
    </row>
    <row r="84" spans="1:12">
      <c r="A84" s="36" t="s">
        <v>2561</v>
      </c>
      <c r="B84" s="36" t="str">
        <f>"057075"</f>
        <v>057075</v>
      </c>
      <c r="C84" s="36" t="s">
        <v>3135</v>
      </c>
      <c r="D84" s="44">
        <v>130</v>
      </c>
      <c r="E84" s="44">
        <v>0</v>
      </c>
      <c r="F84" s="44">
        <f>'NonPublic Enrollment'!$E84*0.1</f>
        <v>0</v>
      </c>
      <c r="G84" s="44">
        <v>0</v>
      </c>
      <c r="H84" s="44">
        <f>'NonPublic Enrollment'!$G84*0.7374</f>
        <v>0</v>
      </c>
      <c r="I84" s="44">
        <v>0</v>
      </c>
      <c r="J84" s="44">
        <f>'NonPublic Enrollment'!$I84*0.2906</f>
        <v>0</v>
      </c>
      <c r="K84" s="44">
        <f>'NonPublic Enrollment'!$D84+'NonPublic Enrollment'!$F84+'NonPublic Enrollment'!$H84+'NonPublic Enrollment'!$J84</f>
        <v>130</v>
      </c>
      <c r="L84" s="37" t="s">
        <v>2586</v>
      </c>
    </row>
    <row r="85" spans="1:12">
      <c r="A85" s="38" t="s">
        <v>2561</v>
      </c>
      <c r="B85" s="38" t="str">
        <f>"058321"</f>
        <v>058321</v>
      </c>
      <c r="C85" s="38" t="s">
        <v>2660</v>
      </c>
      <c r="D85" s="45">
        <v>0</v>
      </c>
      <c r="E85" s="45">
        <v>0</v>
      </c>
      <c r="F85" s="45">
        <f>'NonPublic Enrollment'!$E85*0.1</f>
        <v>0</v>
      </c>
      <c r="G85" s="45">
        <v>0</v>
      </c>
      <c r="H85" s="45">
        <f>'NonPublic Enrollment'!$G85*0.7374</f>
        <v>0</v>
      </c>
      <c r="I85" s="45">
        <v>0</v>
      </c>
      <c r="J85" s="45">
        <f>'NonPublic Enrollment'!$I85*0.2906</f>
        <v>0</v>
      </c>
      <c r="K85" s="45">
        <f>'NonPublic Enrollment'!$D85+'NonPublic Enrollment'!$F85+'NonPublic Enrollment'!$H85+'NonPublic Enrollment'!$J85</f>
        <v>0</v>
      </c>
      <c r="L85" s="39" t="s">
        <v>2949</v>
      </c>
    </row>
    <row r="86" spans="1:12">
      <c r="A86" s="36" t="s">
        <v>2561</v>
      </c>
      <c r="B86" s="36" t="str">
        <f>"060533"</f>
        <v>060533</v>
      </c>
      <c r="C86" s="36" t="s">
        <v>3134</v>
      </c>
      <c r="D86" s="44">
        <v>7</v>
      </c>
      <c r="E86" s="44">
        <v>0</v>
      </c>
      <c r="F86" s="44">
        <f>'NonPublic Enrollment'!$E86*0.1</f>
        <v>0</v>
      </c>
      <c r="G86" s="44">
        <v>0</v>
      </c>
      <c r="H86" s="44">
        <f>'NonPublic Enrollment'!$G86*0.7374</f>
        <v>0</v>
      </c>
      <c r="I86" s="44">
        <v>0</v>
      </c>
      <c r="J86" s="44">
        <f>'NonPublic Enrollment'!$I86*0.2906</f>
        <v>0</v>
      </c>
      <c r="K86" s="44">
        <f>'NonPublic Enrollment'!$D86+'NonPublic Enrollment'!$F86+'NonPublic Enrollment'!$H86+'NonPublic Enrollment'!$J86</f>
        <v>7</v>
      </c>
      <c r="L86" s="37" t="s">
        <v>2562</v>
      </c>
    </row>
    <row r="87" spans="1:12">
      <c r="A87" s="38" t="s">
        <v>2561</v>
      </c>
      <c r="B87" s="38" t="str">
        <f>"060640"</f>
        <v>060640</v>
      </c>
      <c r="C87" s="38" t="s">
        <v>3133</v>
      </c>
      <c r="D87" s="45">
        <v>111</v>
      </c>
      <c r="E87" s="45">
        <v>0</v>
      </c>
      <c r="F87" s="45">
        <f>'NonPublic Enrollment'!$E87*0.1</f>
        <v>0</v>
      </c>
      <c r="G87" s="45">
        <v>0</v>
      </c>
      <c r="H87" s="45">
        <f>'NonPublic Enrollment'!$G87*0.7374</f>
        <v>0</v>
      </c>
      <c r="I87" s="45">
        <v>0</v>
      </c>
      <c r="J87" s="45">
        <f>'NonPublic Enrollment'!$I87*0.2906</f>
        <v>0</v>
      </c>
      <c r="K87" s="45">
        <f>'NonPublic Enrollment'!$D87+'NonPublic Enrollment'!$F87+'NonPublic Enrollment'!$H87+'NonPublic Enrollment'!$J87</f>
        <v>111</v>
      </c>
      <c r="L87" s="39" t="s">
        <v>2562</v>
      </c>
    </row>
    <row r="88" spans="1:12">
      <c r="A88" s="36" t="s">
        <v>2561</v>
      </c>
      <c r="B88" s="36" t="str">
        <f>"060657"</f>
        <v>060657</v>
      </c>
      <c r="C88" s="36" t="s">
        <v>3132</v>
      </c>
      <c r="D88" s="44">
        <v>212</v>
      </c>
      <c r="E88" s="44">
        <v>0</v>
      </c>
      <c r="F88" s="44">
        <f>'NonPublic Enrollment'!$E88*0.1</f>
        <v>0</v>
      </c>
      <c r="G88" s="44">
        <v>0</v>
      </c>
      <c r="H88" s="44">
        <f>'NonPublic Enrollment'!$G88*0.7374</f>
        <v>0</v>
      </c>
      <c r="I88" s="44">
        <v>0</v>
      </c>
      <c r="J88" s="44">
        <f>'NonPublic Enrollment'!$I88*0.2906</f>
        <v>0</v>
      </c>
      <c r="K88" s="44">
        <f>'NonPublic Enrollment'!$D88+'NonPublic Enrollment'!$F88+'NonPublic Enrollment'!$H88+'NonPublic Enrollment'!$J88</f>
        <v>212</v>
      </c>
      <c r="L88" s="37" t="s">
        <v>2562</v>
      </c>
    </row>
    <row r="89" spans="1:12">
      <c r="A89" s="38" t="s">
        <v>2561</v>
      </c>
      <c r="B89" s="38" t="str">
        <f>"060723"</f>
        <v>060723</v>
      </c>
      <c r="C89" s="38" t="s">
        <v>3131</v>
      </c>
      <c r="D89" s="45">
        <v>510</v>
      </c>
      <c r="E89" s="45">
        <v>0</v>
      </c>
      <c r="F89" s="45">
        <f>'NonPublic Enrollment'!$E89*0.1</f>
        <v>0</v>
      </c>
      <c r="G89" s="45">
        <v>0</v>
      </c>
      <c r="H89" s="45">
        <f>'NonPublic Enrollment'!$G89*0.7374</f>
        <v>0</v>
      </c>
      <c r="I89" s="45">
        <v>0</v>
      </c>
      <c r="J89" s="45">
        <f>'NonPublic Enrollment'!$I89*0.2906</f>
        <v>0</v>
      </c>
      <c r="K89" s="45">
        <f>'NonPublic Enrollment'!$D89+'NonPublic Enrollment'!$F89+'NonPublic Enrollment'!$H89+'NonPublic Enrollment'!$J89</f>
        <v>510</v>
      </c>
      <c r="L89" s="39" t="s">
        <v>2562</v>
      </c>
    </row>
    <row r="90" spans="1:12">
      <c r="A90" s="36" t="s">
        <v>2561</v>
      </c>
      <c r="B90" s="36" t="str">
        <f>"060848"</f>
        <v>060848</v>
      </c>
      <c r="C90" s="36" t="s">
        <v>3130</v>
      </c>
      <c r="D90" s="44">
        <v>345</v>
      </c>
      <c r="E90" s="44">
        <v>0</v>
      </c>
      <c r="F90" s="44">
        <f>'NonPublic Enrollment'!$E90*0.1</f>
        <v>0</v>
      </c>
      <c r="G90" s="44">
        <v>0</v>
      </c>
      <c r="H90" s="44">
        <f>'NonPublic Enrollment'!$G90*0.7374</f>
        <v>0</v>
      </c>
      <c r="I90" s="44">
        <v>0</v>
      </c>
      <c r="J90" s="44">
        <f>'NonPublic Enrollment'!$I90*0.2906</f>
        <v>0</v>
      </c>
      <c r="K90" s="44">
        <f>'NonPublic Enrollment'!$D90+'NonPublic Enrollment'!$F90+'NonPublic Enrollment'!$H90+'NonPublic Enrollment'!$J90</f>
        <v>345</v>
      </c>
      <c r="L90" s="37" t="s">
        <v>2569</v>
      </c>
    </row>
    <row r="91" spans="1:12">
      <c r="A91" s="38" t="s">
        <v>2561</v>
      </c>
      <c r="B91" s="38" t="str">
        <f>"060889"</f>
        <v>060889</v>
      </c>
      <c r="C91" s="38" t="s">
        <v>3129</v>
      </c>
      <c r="D91" s="45">
        <v>38</v>
      </c>
      <c r="E91" s="45">
        <v>0</v>
      </c>
      <c r="F91" s="45">
        <f>'NonPublic Enrollment'!$E91*0.1</f>
        <v>0</v>
      </c>
      <c r="G91" s="45">
        <v>0</v>
      </c>
      <c r="H91" s="45">
        <f>'NonPublic Enrollment'!$G91*0.7374</f>
        <v>0</v>
      </c>
      <c r="I91" s="45">
        <v>0</v>
      </c>
      <c r="J91" s="45">
        <f>'NonPublic Enrollment'!$I91*0.2906</f>
        <v>0</v>
      </c>
      <c r="K91" s="45">
        <f>'NonPublic Enrollment'!$D91+'NonPublic Enrollment'!$F91+'NonPublic Enrollment'!$H91+'NonPublic Enrollment'!$J91</f>
        <v>38</v>
      </c>
      <c r="L91" s="39" t="s">
        <v>2572</v>
      </c>
    </row>
    <row r="92" spans="1:12">
      <c r="A92" s="36" t="s">
        <v>2561</v>
      </c>
      <c r="B92" s="36" t="str">
        <f>"060905"</f>
        <v>060905</v>
      </c>
      <c r="C92" s="36" t="s">
        <v>3128</v>
      </c>
      <c r="D92" s="44">
        <v>396</v>
      </c>
      <c r="E92" s="44">
        <v>0</v>
      </c>
      <c r="F92" s="44">
        <f>'NonPublic Enrollment'!$E92*0.1</f>
        <v>0</v>
      </c>
      <c r="G92" s="44">
        <v>0</v>
      </c>
      <c r="H92" s="44">
        <f>'NonPublic Enrollment'!$G92*0.7374</f>
        <v>0</v>
      </c>
      <c r="I92" s="44">
        <v>0</v>
      </c>
      <c r="J92" s="44">
        <f>'NonPublic Enrollment'!$I92*0.2906</f>
        <v>0</v>
      </c>
      <c r="K92" s="44">
        <f>'NonPublic Enrollment'!$D92+'NonPublic Enrollment'!$F92+'NonPublic Enrollment'!$H92+'NonPublic Enrollment'!$J92</f>
        <v>396</v>
      </c>
      <c r="L92" s="37" t="s">
        <v>2562</v>
      </c>
    </row>
    <row r="93" spans="1:12">
      <c r="A93" s="38" t="s">
        <v>2561</v>
      </c>
      <c r="B93" s="38" t="str">
        <f>"062463"</f>
        <v>062463</v>
      </c>
      <c r="C93" s="38" t="s">
        <v>3127</v>
      </c>
      <c r="D93" s="45">
        <v>19</v>
      </c>
      <c r="E93" s="45">
        <v>0</v>
      </c>
      <c r="F93" s="45">
        <f>'NonPublic Enrollment'!$E93*0.1</f>
        <v>0</v>
      </c>
      <c r="G93" s="45">
        <v>0</v>
      </c>
      <c r="H93" s="45">
        <f>'NonPublic Enrollment'!$G93*0.7374</f>
        <v>0</v>
      </c>
      <c r="I93" s="45">
        <v>0</v>
      </c>
      <c r="J93" s="45">
        <f>'NonPublic Enrollment'!$I93*0.2906</f>
        <v>0</v>
      </c>
      <c r="K93" s="45">
        <f>'NonPublic Enrollment'!$D93+'NonPublic Enrollment'!$F93+'NonPublic Enrollment'!$H93+'NonPublic Enrollment'!$J93</f>
        <v>19</v>
      </c>
      <c r="L93" s="39" t="s">
        <v>2562</v>
      </c>
    </row>
    <row r="94" spans="1:12">
      <c r="A94" s="36" t="s">
        <v>2561</v>
      </c>
      <c r="B94" s="36" t="str">
        <f>"062471"</f>
        <v>062471</v>
      </c>
      <c r="C94" s="36" t="s">
        <v>3126</v>
      </c>
      <c r="D94" s="44">
        <v>417</v>
      </c>
      <c r="E94" s="44">
        <v>0</v>
      </c>
      <c r="F94" s="44">
        <f>'NonPublic Enrollment'!$E94*0.1</f>
        <v>0</v>
      </c>
      <c r="G94" s="44">
        <v>0</v>
      </c>
      <c r="H94" s="44">
        <f>'NonPublic Enrollment'!$G94*0.7374</f>
        <v>0</v>
      </c>
      <c r="I94" s="44">
        <v>0</v>
      </c>
      <c r="J94" s="44">
        <f>'NonPublic Enrollment'!$I94*0.2906</f>
        <v>0</v>
      </c>
      <c r="K94" s="44">
        <f>'NonPublic Enrollment'!$D94+'NonPublic Enrollment'!$F94+'NonPublic Enrollment'!$H94+'NonPublic Enrollment'!$J94</f>
        <v>417</v>
      </c>
      <c r="L94" s="37" t="s">
        <v>2562</v>
      </c>
    </row>
    <row r="95" spans="1:12">
      <c r="A95" s="38" t="s">
        <v>2561</v>
      </c>
      <c r="B95" s="38" t="str">
        <f>"062562"</f>
        <v>062562</v>
      </c>
      <c r="C95" s="38" t="s">
        <v>3015</v>
      </c>
      <c r="D95" s="45">
        <v>0</v>
      </c>
      <c r="E95" s="45">
        <v>0</v>
      </c>
      <c r="F95" s="45">
        <f>'NonPublic Enrollment'!$E95*0.1</f>
        <v>0</v>
      </c>
      <c r="G95" s="45">
        <v>0</v>
      </c>
      <c r="H95" s="45">
        <f>'NonPublic Enrollment'!$G95*0.7374</f>
        <v>0</v>
      </c>
      <c r="I95" s="45">
        <v>0</v>
      </c>
      <c r="J95" s="45">
        <f>'NonPublic Enrollment'!$I95*0.2906</f>
        <v>0</v>
      </c>
      <c r="K95" s="45">
        <f>'NonPublic Enrollment'!$D95+'NonPublic Enrollment'!$F95+'NonPublic Enrollment'!$H95+'NonPublic Enrollment'!$J95</f>
        <v>0</v>
      </c>
      <c r="L95" s="39" t="s">
        <v>2949</v>
      </c>
    </row>
    <row r="96" spans="1:12">
      <c r="A96" s="36" t="s">
        <v>2561</v>
      </c>
      <c r="B96" s="36" t="str">
        <f>"064923"</f>
        <v>064923</v>
      </c>
      <c r="C96" s="36" t="s">
        <v>3125</v>
      </c>
      <c r="D96" s="44">
        <v>150</v>
      </c>
      <c r="E96" s="44">
        <v>0</v>
      </c>
      <c r="F96" s="44">
        <f>'NonPublic Enrollment'!$E96*0.1</f>
        <v>0</v>
      </c>
      <c r="G96" s="44">
        <v>0</v>
      </c>
      <c r="H96" s="44">
        <f>'NonPublic Enrollment'!$G96*0.7374</f>
        <v>0</v>
      </c>
      <c r="I96" s="44">
        <v>0</v>
      </c>
      <c r="J96" s="44">
        <f>'NonPublic Enrollment'!$I96*0.2906</f>
        <v>0</v>
      </c>
      <c r="K96" s="44">
        <f>'NonPublic Enrollment'!$D96+'NonPublic Enrollment'!$F96+'NonPublic Enrollment'!$H96+'NonPublic Enrollment'!$J96</f>
        <v>150</v>
      </c>
      <c r="L96" s="37" t="s">
        <v>2562</v>
      </c>
    </row>
    <row r="97" spans="1:12">
      <c r="A97" s="38" t="s">
        <v>2561</v>
      </c>
      <c r="B97" s="38" t="str">
        <f>"065722"</f>
        <v>065722</v>
      </c>
      <c r="C97" s="38" t="s">
        <v>3124</v>
      </c>
      <c r="D97" s="45">
        <v>113</v>
      </c>
      <c r="E97" s="45">
        <v>0</v>
      </c>
      <c r="F97" s="45">
        <f>'NonPublic Enrollment'!$E97*0.1</f>
        <v>0</v>
      </c>
      <c r="G97" s="45">
        <v>0</v>
      </c>
      <c r="H97" s="45">
        <f>'NonPublic Enrollment'!$G97*0.7374</f>
        <v>0</v>
      </c>
      <c r="I97" s="45">
        <v>0</v>
      </c>
      <c r="J97" s="45">
        <f>'NonPublic Enrollment'!$I97*0.2906</f>
        <v>0</v>
      </c>
      <c r="K97" s="45">
        <f>'NonPublic Enrollment'!$D97+'NonPublic Enrollment'!$F97+'NonPublic Enrollment'!$H97+'NonPublic Enrollment'!$J97</f>
        <v>113</v>
      </c>
      <c r="L97" s="39" t="s">
        <v>2562</v>
      </c>
    </row>
    <row r="98" spans="1:12">
      <c r="A98" s="36" t="s">
        <v>2561</v>
      </c>
      <c r="B98" s="36" t="str">
        <f>"066555"</f>
        <v>066555</v>
      </c>
      <c r="C98" s="36" t="s">
        <v>3123</v>
      </c>
      <c r="D98" s="44">
        <v>655</v>
      </c>
      <c r="E98" s="44">
        <v>0</v>
      </c>
      <c r="F98" s="44">
        <f>'NonPublic Enrollment'!$E98*0.1</f>
        <v>0</v>
      </c>
      <c r="G98" s="44">
        <v>0</v>
      </c>
      <c r="H98" s="44">
        <f>'NonPublic Enrollment'!$G98*0.7374</f>
        <v>0</v>
      </c>
      <c r="I98" s="44">
        <v>0</v>
      </c>
      <c r="J98" s="44">
        <f>'NonPublic Enrollment'!$I98*0.2906</f>
        <v>0</v>
      </c>
      <c r="K98" s="44">
        <f>'NonPublic Enrollment'!$D98+'NonPublic Enrollment'!$F98+'NonPublic Enrollment'!$H98+'NonPublic Enrollment'!$J98</f>
        <v>655</v>
      </c>
      <c r="L98" s="37" t="s">
        <v>2572</v>
      </c>
    </row>
    <row r="99" spans="1:12">
      <c r="A99" s="38" t="s">
        <v>2561</v>
      </c>
      <c r="B99" s="38" t="str">
        <f>"067603"</f>
        <v>067603</v>
      </c>
      <c r="C99" s="38" t="s">
        <v>3122</v>
      </c>
      <c r="D99" s="45">
        <v>164</v>
      </c>
      <c r="E99" s="45">
        <v>0</v>
      </c>
      <c r="F99" s="45">
        <f>'NonPublic Enrollment'!$E99*0.1</f>
        <v>0</v>
      </c>
      <c r="G99" s="45">
        <v>0</v>
      </c>
      <c r="H99" s="45">
        <f>'NonPublic Enrollment'!$G99*0.7374</f>
        <v>0</v>
      </c>
      <c r="I99" s="45">
        <v>0</v>
      </c>
      <c r="J99" s="45">
        <f>'NonPublic Enrollment'!$I99*0.2906</f>
        <v>0</v>
      </c>
      <c r="K99" s="45">
        <f>'NonPublic Enrollment'!$D99+'NonPublic Enrollment'!$F99+'NonPublic Enrollment'!$H99+'NonPublic Enrollment'!$J99</f>
        <v>164</v>
      </c>
      <c r="L99" s="39" t="s">
        <v>2562</v>
      </c>
    </row>
    <row r="100" spans="1:12">
      <c r="A100" s="36" t="s">
        <v>2561</v>
      </c>
      <c r="B100" s="36" t="str">
        <f>"068338"</f>
        <v>068338</v>
      </c>
      <c r="C100" s="36" t="s">
        <v>3121</v>
      </c>
      <c r="D100" s="44">
        <v>132</v>
      </c>
      <c r="E100" s="44">
        <v>0</v>
      </c>
      <c r="F100" s="44">
        <f>'NonPublic Enrollment'!$E100*0.1</f>
        <v>0</v>
      </c>
      <c r="G100" s="44">
        <v>0</v>
      </c>
      <c r="H100" s="44">
        <f>'NonPublic Enrollment'!$G100*0.7374</f>
        <v>0</v>
      </c>
      <c r="I100" s="44">
        <v>0</v>
      </c>
      <c r="J100" s="44">
        <f>'NonPublic Enrollment'!$I100*0.2906</f>
        <v>0</v>
      </c>
      <c r="K100" s="44">
        <f>'NonPublic Enrollment'!$D100+'NonPublic Enrollment'!$F100+'NonPublic Enrollment'!$H100+'NonPublic Enrollment'!$J100</f>
        <v>132</v>
      </c>
      <c r="L100" s="37" t="s">
        <v>2562</v>
      </c>
    </row>
    <row r="101" spans="1:12">
      <c r="A101" s="38" t="s">
        <v>2561</v>
      </c>
      <c r="B101" s="38" t="str">
        <f>"069906"</f>
        <v>069906</v>
      </c>
      <c r="C101" s="38" t="s">
        <v>3120</v>
      </c>
      <c r="D101" s="45">
        <v>27</v>
      </c>
      <c r="E101" s="45">
        <v>0</v>
      </c>
      <c r="F101" s="45">
        <f>'NonPublic Enrollment'!$E101*0.1</f>
        <v>0</v>
      </c>
      <c r="G101" s="45">
        <v>0</v>
      </c>
      <c r="H101" s="45">
        <f>'NonPublic Enrollment'!$G101*0.7374</f>
        <v>0</v>
      </c>
      <c r="I101" s="45">
        <v>0</v>
      </c>
      <c r="J101" s="45">
        <f>'NonPublic Enrollment'!$I101*0.2906</f>
        <v>0</v>
      </c>
      <c r="K101" s="45">
        <f>'NonPublic Enrollment'!$D101+'NonPublic Enrollment'!$F101+'NonPublic Enrollment'!$H101+'NonPublic Enrollment'!$J101</f>
        <v>27</v>
      </c>
      <c r="L101" s="39" t="s">
        <v>2572</v>
      </c>
    </row>
    <row r="102" spans="1:12">
      <c r="A102" s="36" t="s">
        <v>2561</v>
      </c>
      <c r="B102" s="36" t="str">
        <f>"069914"</f>
        <v>069914</v>
      </c>
      <c r="C102" s="36" t="s">
        <v>3119</v>
      </c>
      <c r="D102" s="44">
        <v>87</v>
      </c>
      <c r="E102" s="44">
        <v>0</v>
      </c>
      <c r="F102" s="44">
        <f>'NonPublic Enrollment'!$E102*0.1</f>
        <v>0</v>
      </c>
      <c r="G102" s="44">
        <v>0</v>
      </c>
      <c r="H102" s="44">
        <f>'NonPublic Enrollment'!$G102*0.7374</f>
        <v>0</v>
      </c>
      <c r="I102" s="44">
        <v>0</v>
      </c>
      <c r="J102" s="44">
        <f>'NonPublic Enrollment'!$I102*0.2906</f>
        <v>0</v>
      </c>
      <c r="K102" s="44">
        <f>'NonPublic Enrollment'!$D102+'NonPublic Enrollment'!$F102+'NonPublic Enrollment'!$H102+'NonPublic Enrollment'!$J102</f>
        <v>87</v>
      </c>
      <c r="L102" s="37" t="s">
        <v>2572</v>
      </c>
    </row>
    <row r="103" spans="1:12">
      <c r="A103" s="38" t="s">
        <v>2561</v>
      </c>
      <c r="B103" s="38" t="str">
        <f>"070136"</f>
        <v>070136</v>
      </c>
      <c r="C103" s="38" t="s">
        <v>3118</v>
      </c>
      <c r="D103" s="45">
        <v>120</v>
      </c>
      <c r="E103" s="45">
        <v>0</v>
      </c>
      <c r="F103" s="45">
        <f>'NonPublic Enrollment'!$E103*0.1</f>
        <v>0</v>
      </c>
      <c r="G103" s="45">
        <v>0</v>
      </c>
      <c r="H103" s="45">
        <f>'NonPublic Enrollment'!$G103*0.7374</f>
        <v>0</v>
      </c>
      <c r="I103" s="45">
        <v>0</v>
      </c>
      <c r="J103" s="45">
        <f>'NonPublic Enrollment'!$I103*0.2906</f>
        <v>0</v>
      </c>
      <c r="K103" s="45">
        <f>'NonPublic Enrollment'!$D103+'NonPublic Enrollment'!$F103+'NonPublic Enrollment'!$H103+'NonPublic Enrollment'!$J103</f>
        <v>120</v>
      </c>
      <c r="L103" s="39" t="s">
        <v>2562</v>
      </c>
    </row>
    <row r="104" spans="1:12">
      <c r="A104" s="36" t="s">
        <v>2561</v>
      </c>
      <c r="B104" s="36" t="str">
        <f>"070169"</f>
        <v>070169</v>
      </c>
      <c r="C104" s="36" t="s">
        <v>3117</v>
      </c>
      <c r="D104" s="44">
        <v>0</v>
      </c>
      <c r="E104" s="44">
        <v>0</v>
      </c>
      <c r="F104" s="44">
        <f>'NonPublic Enrollment'!$E104*0.1</f>
        <v>0</v>
      </c>
      <c r="G104" s="44">
        <v>0</v>
      </c>
      <c r="H104" s="44">
        <f>'NonPublic Enrollment'!$G104*0.7374</f>
        <v>0</v>
      </c>
      <c r="I104" s="44">
        <v>0</v>
      </c>
      <c r="J104" s="44">
        <f>'NonPublic Enrollment'!$I104*0.2906</f>
        <v>0</v>
      </c>
      <c r="K104" s="44">
        <f>'NonPublic Enrollment'!$D104+'NonPublic Enrollment'!$F104+'NonPublic Enrollment'!$H104+'NonPublic Enrollment'!$J104</f>
        <v>0</v>
      </c>
      <c r="L104" s="37" t="s">
        <v>2949</v>
      </c>
    </row>
    <row r="105" spans="1:12">
      <c r="A105" s="38" t="s">
        <v>2561</v>
      </c>
      <c r="B105" s="38" t="str">
        <f>"070243"</f>
        <v>070243</v>
      </c>
      <c r="C105" s="38" t="s">
        <v>3116</v>
      </c>
      <c r="D105" s="45">
        <v>14</v>
      </c>
      <c r="E105" s="45">
        <v>0</v>
      </c>
      <c r="F105" s="45">
        <f>'NonPublic Enrollment'!$E105*0.1</f>
        <v>0</v>
      </c>
      <c r="G105" s="45">
        <v>0</v>
      </c>
      <c r="H105" s="45">
        <f>'NonPublic Enrollment'!$G105*0.7374</f>
        <v>0</v>
      </c>
      <c r="I105" s="45">
        <v>0</v>
      </c>
      <c r="J105" s="45">
        <f>'NonPublic Enrollment'!$I105*0.2906</f>
        <v>0</v>
      </c>
      <c r="K105" s="45">
        <f>'NonPublic Enrollment'!$D105+'NonPublic Enrollment'!$F105+'NonPublic Enrollment'!$H105+'NonPublic Enrollment'!$J105</f>
        <v>14</v>
      </c>
      <c r="L105" s="39" t="s">
        <v>2562</v>
      </c>
    </row>
    <row r="106" spans="1:12">
      <c r="A106" s="36" t="s">
        <v>2561</v>
      </c>
      <c r="B106" s="36" t="str">
        <f>"070771"</f>
        <v>070771</v>
      </c>
      <c r="C106" s="36" t="s">
        <v>3115</v>
      </c>
      <c r="D106" s="44">
        <v>246</v>
      </c>
      <c r="E106" s="44">
        <v>0</v>
      </c>
      <c r="F106" s="44">
        <f>'NonPublic Enrollment'!$E106*0.1</f>
        <v>0</v>
      </c>
      <c r="G106" s="44">
        <v>0</v>
      </c>
      <c r="H106" s="44">
        <f>'NonPublic Enrollment'!$G106*0.7374</f>
        <v>0</v>
      </c>
      <c r="I106" s="44">
        <v>0</v>
      </c>
      <c r="J106" s="44">
        <f>'NonPublic Enrollment'!$I106*0.2906</f>
        <v>0</v>
      </c>
      <c r="K106" s="44">
        <f>'NonPublic Enrollment'!$D106+'NonPublic Enrollment'!$F106+'NonPublic Enrollment'!$H106+'NonPublic Enrollment'!$J106</f>
        <v>246</v>
      </c>
      <c r="L106" s="37" t="s">
        <v>2569</v>
      </c>
    </row>
    <row r="107" spans="1:12">
      <c r="A107" s="38" t="s">
        <v>2561</v>
      </c>
      <c r="B107" s="38" t="str">
        <f>"070789"</f>
        <v>070789</v>
      </c>
      <c r="C107" s="38" t="s">
        <v>3114</v>
      </c>
      <c r="D107" s="45">
        <v>84</v>
      </c>
      <c r="E107" s="45">
        <v>0</v>
      </c>
      <c r="F107" s="45">
        <f>'NonPublic Enrollment'!$E107*0.1</f>
        <v>0</v>
      </c>
      <c r="G107" s="45">
        <v>0</v>
      </c>
      <c r="H107" s="45">
        <f>'NonPublic Enrollment'!$G107*0.7374</f>
        <v>0</v>
      </c>
      <c r="I107" s="45">
        <v>0</v>
      </c>
      <c r="J107" s="45">
        <f>'NonPublic Enrollment'!$I107*0.2906</f>
        <v>0</v>
      </c>
      <c r="K107" s="45">
        <f>'NonPublic Enrollment'!$D107+'NonPublic Enrollment'!$F107+'NonPublic Enrollment'!$H107+'NonPublic Enrollment'!$J107</f>
        <v>84</v>
      </c>
      <c r="L107" s="39" t="s">
        <v>2562</v>
      </c>
    </row>
    <row r="108" spans="1:12">
      <c r="A108" s="36" t="s">
        <v>2561</v>
      </c>
      <c r="B108" s="36" t="str">
        <f>"070961"</f>
        <v>070961</v>
      </c>
      <c r="C108" s="36" t="s">
        <v>2794</v>
      </c>
      <c r="D108" s="44">
        <v>8</v>
      </c>
      <c r="E108" s="44">
        <v>0</v>
      </c>
      <c r="F108" s="44">
        <f>'NonPublic Enrollment'!$E108*0.1</f>
        <v>0</v>
      </c>
      <c r="G108" s="44">
        <v>0</v>
      </c>
      <c r="H108" s="44">
        <f>'NonPublic Enrollment'!$G108*0.7374</f>
        <v>0</v>
      </c>
      <c r="I108" s="44">
        <v>0</v>
      </c>
      <c r="J108" s="44">
        <f>'NonPublic Enrollment'!$I108*0.2906</f>
        <v>0</v>
      </c>
      <c r="K108" s="44">
        <f>'NonPublic Enrollment'!$D108+'NonPublic Enrollment'!$F108+'NonPublic Enrollment'!$H108+'NonPublic Enrollment'!$J108</f>
        <v>8</v>
      </c>
      <c r="L108" s="37" t="s">
        <v>2572</v>
      </c>
    </row>
    <row r="109" spans="1:12">
      <c r="A109" s="38" t="s">
        <v>2561</v>
      </c>
      <c r="B109" s="38" t="str">
        <f>"071571"</f>
        <v>071571</v>
      </c>
      <c r="C109" s="38" t="s">
        <v>3113</v>
      </c>
      <c r="D109" s="45">
        <v>190</v>
      </c>
      <c r="E109" s="45">
        <v>0</v>
      </c>
      <c r="F109" s="45">
        <f>'NonPublic Enrollment'!$E109*0.1</f>
        <v>0</v>
      </c>
      <c r="G109" s="45">
        <v>0</v>
      </c>
      <c r="H109" s="45">
        <f>'NonPublic Enrollment'!$G109*0.7374</f>
        <v>0</v>
      </c>
      <c r="I109" s="45">
        <v>0</v>
      </c>
      <c r="J109" s="45">
        <f>'NonPublic Enrollment'!$I109*0.2906</f>
        <v>0</v>
      </c>
      <c r="K109" s="45">
        <f>'NonPublic Enrollment'!$D109+'NonPublic Enrollment'!$F109+'NonPublic Enrollment'!$H109+'NonPublic Enrollment'!$J109</f>
        <v>190</v>
      </c>
      <c r="L109" s="39" t="s">
        <v>2572</v>
      </c>
    </row>
    <row r="110" spans="1:12">
      <c r="A110" s="36" t="s">
        <v>2561</v>
      </c>
      <c r="B110" s="36" t="str">
        <f>"081851"</f>
        <v>081851</v>
      </c>
      <c r="C110" s="36" t="s">
        <v>3112</v>
      </c>
      <c r="D110" s="44">
        <v>518</v>
      </c>
      <c r="E110" s="44">
        <v>0</v>
      </c>
      <c r="F110" s="44">
        <f>'NonPublic Enrollment'!$E110*0.1</f>
        <v>0</v>
      </c>
      <c r="G110" s="44">
        <v>0</v>
      </c>
      <c r="H110" s="44">
        <f>'NonPublic Enrollment'!$G110*0.7374</f>
        <v>0</v>
      </c>
      <c r="I110" s="44">
        <v>0</v>
      </c>
      <c r="J110" s="44">
        <f>'NonPublic Enrollment'!$I110*0.2906</f>
        <v>0</v>
      </c>
      <c r="K110" s="44">
        <f>'NonPublic Enrollment'!$D110+'NonPublic Enrollment'!$F110+'NonPublic Enrollment'!$H110+'NonPublic Enrollment'!$J110</f>
        <v>518</v>
      </c>
      <c r="L110" s="37" t="s">
        <v>2562</v>
      </c>
    </row>
    <row r="111" spans="1:12">
      <c r="A111" s="38" t="s">
        <v>2561</v>
      </c>
      <c r="B111" s="38" t="str">
        <f>"083295"</f>
        <v>083295</v>
      </c>
      <c r="C111" s="38" t="s">
        <v>3111</v>
      </c>
      <c r="D111" s="45">
        <v>143</v>
      </c>
      <c r="E111" s="45">
        <v>0</v>
      </c>
      <c r="F111" s="45">
        <f>'NonPublic Enrollment'!$E111*0.1</f>
        <v>0</v>
      </c>
      <c r="G111" s="45">
        <v>0</v>
      </c>
      <c r="H111" s="45">
        <f>'NonPublic Enrollment'!$G111*0.7374</f>
        <v>0</v>
      </c>
      <c r="I111" s="45">
        <v>0</v>
      </c>
      <c r="J111" s="45">
        <f>'NonPublic Enrollment'!$I111*0.2906</f>
        <v>0</v>
      </c>
      <c r="K111" s="45">
        <f>'NonPublic Enrollment'!$D111+'NonPublic Enrollment'!$F111+'NonPublic Enrollment'!$H111+'NonPublic Enrollment'!$J111</f>
        <v>143</v>
      </c>
      <c r="L111" s="39" t="s">
        <v>2562</v>
      </c>
    </row>
    <row r="112" spans="1:12">
      <c r="A112" s="36" t="s">
        <v>2561</v>
      </c>
      <c r="B112" s="36" t="str">
        <f>"083923"</f>
        <v>083923</v>
      </c>
      <c r="C112" s="36" t="s">
        <v>3110</v>
      </c>
      <c r="D112" s="44">
        <v>144</v>
      </c>
      <c r="E112" s="44">
        <v>0</v>
      </c>
      <c r="F112" s="44">
        <f>'NonPublic Enrollment'!$E112*0.1</f>
        <v>0</v>
      </c>
      <c r="G112" s="44">
        <v>0</v>
      </c>
      <c r="H112" s="44">
        <f>'NonPublic Enrollment'!$G112*0.7374</f>
        <v>0</v>
      </c>
      <c r="I112" s="44">
        <v>0</v>
      </c>
      <c r="J112" s="44">
        <f>'NonPublic Enrollment'!$I112*0.2906</f>
        <v>0</v>
      </c>
      <c r="K112" s="44">
        <f>'NonPublic Enrollment'!$D112+'NonPublic Enrollment'!$F112+'NonPublic Enrollment'!$H112+'NonPublic Enrollment'!$J112</f>
        <v>144</v>
      </c>
      <c r="L112" s="37" t="s">
        <v>2562</v>
      </c>
    </row>
    <row r="113" spans="1:12">
      <c r="A113" s="38" t="s">
        <v>2561</v>
      </c>
      <c r="B113" s="38" t="str">
        <f>"084202"</f>
        <v>084202</v>
      </c>
      <c r="C113" s="38" t="s">
        <v>3109</v>
      </c>
      <c r="D113" s="45">
        <v>420</v>
      </c>
      <c r="E113" s="45">
        <v>0</v>
      </c>
      <c r="F113" s="45">
        <f>'NonPublic Enrollment'!$E113*0.1</f>
        <v>0</v>
      </c>
      <c r="G113" s="45">
        <v>0</v>
      </c>
      <c r="H113" s="45">
        <f>'NonPublic Enrollment'!$G113*0.7374</f>
        <v>0</v>
      </c>
      <c r="I113" s="45">
        <v>0</v>
      </c>
      <c r="J113" s="45">
        <f>'NonPublic Enrollment'!$I113*0.2906</f>
        <v>0</v>
      </c>
      <c r="K113" s="45">
        <f>'NonPublic Enrollment'!$D113+'NonPublic Enrollment'!$F113+'NonPublic Enrollment'!$H113+'NonPublic Enrollment'!$J113</f>
        <v>420</v>
      </c>
      <c r="L113" s="39" t="s">
        <v>2562</v>
      </c>
    </row>
    <row r="114" spans="1:12">
      <c r="A114" s="36" t="s">
        <v>2561</v>
      </c>
      <c r="B114" s="36" t="str">
        <f>"084335"</f>
        <v>084335</v>
      </c>
      <c r="C114" s="36" t="s">
        <v>3108</v>
      </c>
      <c r="D114" s="44">
        <v>64</v>
      </c>
      <c r="E114" s="44">
        <v>0</v>
      </c>
      <c r="F114" s="44">
        <f>'NonPublic Enrollment'!$E114*0.1</f>
        <v>0</v>
      </c>
      <c r="G114" s="44">
        <v>0</v>
      </c>
      <c r="H114" s="44">
        <f>'NonPublic Enrollment'!$G114*0.7374</f>
        <v>0</v>
      </c>
      <c r="I114" s="44">
        <v>0</v>
      </c>
      <c r="J114" s="44">
        <f>'NonPublic Enrollment'!$I114*0.2906</f>
        <v>0</v>
      </c>
      <c r="K114" s="44">
        <f>'NonPublic Enrollment'!$D114+'NonPublic Enrollment'!$F114+'NonPublic Enrollment'!$H114+'NonPublic Enrollment'!$J114</f>
        <v>64</v>
      </c>
      <c r="L114" s="37" t="s">
        <v>2559</v>
      </c>
    </row>
    <row r="115" spans="1:12">
      <c r="A115" s="38" t="s">
        <v>2561</v>
      </c>
      <c r="B115" s="38" t="str">
        <f>"088062"</f>
        <v>088062</v>
      </c>
      <c r="C115" s="38" t="s">
        <v>3107</v>
      </c>
      <c r="D115" s="45">
        <v>311</v>
      </c>
      <c r="E115" s="45">
        <v>0</v>
      </c>
      <c r="F115" s="45">
        <f>'NonPublic Enrollment'!$E115*0.1</f>
        <v>0</v>
      </c>
      <c r="G115" s="45">
        <v>0</v>
      </c>
      <c r="H115" s="45">
        <f>'NonPublic Enrollment'!$G115*0.7374</f>
        <v>0</v>
      </c>
      <c r="I115" s="45">
        <v>0</v>
      </c>
      <c r="J115" s="45">
        <f>'NonPublic Enrollment'!$I115*0.2906</f>
        <v>0</v>
      </c>
      <c r="K115" s="45">
        <f>'NonPublic Enrollment'!$D115+'NonPublic Enrollment'!$F115+'NonPublic Enrollment'!$H115+'NonPublic Enrollment'!$J115</f>
        <v>311</v>
      </c>
      <c r="L115" s="39" t="s">
        <v>2562</v>
      </c>
    </row>
    <row r="116" spans="1:12">
      <c r="A116" s="36" t="s">
        <v>2561</v>
      </c>
      <c r="B116" s="36" t="str">
        <f>"088070"</f>
        <v>088070</v>
      </c>
      <c r="C116" s="36" t="s">
        <v>3106</v>
      </c>
      <c r="D116" s="44">
        <v>298</v>
      </c>
      <c r="E116" s="44">
        <v>0</v>
      </c>
      <c r="F116" s="44">
        <f>'NonPublic Enrollment'!$E116*0.1</f>
        <v>0</v>
      </c>
      <c r="G116" s="44">
        <v>0</v>
      </c>
      <c r="H116" s="44">
        <f>'NonPublic Enrollment'!$G116*0.7374</f>
        <v>0</v>
      </c>
      <c r="I116" s="44">
        <v>0</v>
      </c>
      <c r="J116" s="44">
        <f>'NonPublic Enrollment'!$I116*0.2906</f>
        <v>0</v>
      </c>
      <c r="K116" s="44">
        <f>'NonPublic Enrollment'!$D116+'NonPublic Enrollment'!$F116+'NonPublic Enrollment'!$H116+'NonPublic Enrollment'!$J116</f>
        <v>298</v>
      </c>
      <c r="L116" s="37" t="s">
        <v>2562</v>
      </c>
    </row>
    <row r="117" spans="1:12">
      <c r="A117" s="38" t="s">
        <v>2561</v>
      </c>
      <c r="B117" s="38" t="str">
        <f>"088112"</f>
        <v>088112</v>
      </c>
      <c r="C117" s="38" t="s">
        <v>3105</v>
      </c>
      <c r="D117" s="45">
        <v>341</v>
      </c>
      <c r="E117" s="45">
        <v>0</v>
      </c>
      <c r="F117" s="45">
        <f>'NonPublic Enrollment'!$E117*0.1</f>
        <v>0</v>
      </c>
      <c r="G117" s="45">
        <v>0</v>
      </c>
      <c r="H117" s="45">
        <f>'NonPublic Enrollment'!$G117*0.7374</f>
        <v>0</v>
      </c>
      <c r="I117" s="45">
        <v>0</v>
      </c>
      <c r="J117" s="45">
        <f>'NonPublic Enrollment'!$I117*0.2906</f>
        <v>0</v>
      </c>
      <c r="K117" s="45">
        <f>'NonPublic Enrollment'!$D117+'NonPublic Enrollment'!$F117+'NonPublic Enrollment'!$H117+'NonPublic Enrollment'!$J117</f>
        <v>341</v>
      </c>
      <c r="L117" s="39" t="s">
        <v>2562</v>
      </c>
    </row>
    <row r="118" spans="1:12">
      <c r="A118" s="36" t="s">
        <v>2561</v>
      </c>
      <c r="B118" s="36" t="str">
        <f>"088377"</f>
        <v>088377</v>
      </c>
      <c r="C118" s="36" t="s">
        <v>3104</v>
      </c>
      <c r="D118" s="44">
        <v>11</v>
      </c>
      <c r="E118" s="44">
        <v>0</v>
      </c>
      <c r="F118" s="44">
        <f>'NonPublic Enrollment'!$E118*0.1</f>
        <v>0</v>
      </c>
      <c r="G118" s="44">
        <v>0</v>
      </c>
      <c r="H118" s="44">
        <f>'NonPublic Enrollment'!$G118*0.7374</f>
        <v>0</v>
      </c>
      <c r="I118" s="44">
        <v>0</v>
      </c>
      <c r="J118" s="44">
        <f>'NonPublic Enrollment'!$I118*0.2906</f>
        <v>0</v>
      </c>
      <c r="K118" s="44">
        <f>'NonPublic Enrollment'!$D118+'NonPublic Enrollment'!$F118+'NonPublic Enrollment'!$H118+'NonPublic Enrollment'!$J118</f>
        <v>11</v>
      </c>
      <c r="L118" s="37" t="s">
        <v>2562</v>
      </c>
    </row>
    <row r="119" spans="1:12">
      <c r="A119" s="38" t="s">
        <v>2561</v>
      </c>
      <c r="B119" s="38" t="str">
        <f>"089409"</f>
        <v>089409</v>
      </c>
      <c r="C119" s="38" t="s">
        <v>3103</v>
      </c>
      <c r="D119" s="45">
        <v>58</v>
      </c>
      <c r="E119" s="45">
        <v>0</v>
      </c>
      <c r="F119" s="45">
        <f>'NonPublic Enrollment'!$E119*0.1</f>
        <v>0</v>
      </c>
      <c r="G119" s="45">
        <v>0</v>
      </c>
      <c r="H119" s="45">
        <f>'NonPublic Enrollment'!$G119*0.7374</f>
        <v>0</v>
      </c>
      <c r="I119" s="45">
        <v>0</v>
      </c>
      <c r="J119" s="45">
        <f>'NonPublic Enrollment'!$I119*0.2906</f>
        <v>0</v>
      </c>
      <c r="K119" s="45">
        <f>'NonPublic Enrollment'!$D119+'NonPublic Enrollment'!$F119+'NonPublic Enrollment'!$H119+'NonPublic Enrollment'!$J119</f>
        <v>58</v>
      </c>
      <c r="L119" s="39" t="s">
        <v>2562</v>
      </c>
    </row>
    <row r="120" spans="1:12">
      <c r="A120" s="36" t="s">
        <v>2561</v>
      </c>
      <c r="B120" s="36" t="str">
        <f>"091314"</f>
        <v>091314</v>
      </c>
      <c r="C120" s="36" t="s">
        <v>3102</v>
      </c>
      <c r="D120" s="44">
        <v>13</v>
      </c>
      <c r="E120" s="44">
        <v>0</v>
      </c>
      <c r="F120" s="44">
        <f>'NonPublic Enrollment'!$E120*0.1</f>
        <v>0</v>
      </c>
      <c r="G120" s="44">
        <v>0</v>
      </c>
      <c r="H120" s="44">
        <f>'NonPublic Enrollment'!$G120*0.7374</f>
        <v>0</v>
      </c>
      <c r="I120" s="44">
        <v>0</v>
      </c>
      <c r="J120" s="44">
        <f>'NonPublic Enrollment'!$I120*0.2906</f>
        <v>0</v>
      </c>
      <c r="K120" s="44">
        <f>'NonPublic Enrollment'!$D120+'NonPublic Enrollment'!$F120+'NonPublic Enrollment'!$H120+'NonPublic Enrollment'!$J120</f>
        <v>13</v>
      </c>
      <c r="L120" s="37" t="s">
        <v>2562</v>
      </c>
    </row>
    <row r="121" spans="1:12">
      <c r="A121" s="38" t="s">
        <v>2561</v>
      </c>
      <c r="B121" s="38" t="str">
        <f>"093039"</f>
        <v>093039</v>
      </c>
      <c r="C121" s="38" t="s">
        <v>3101</v>
      </c>
      <c r="D121" s="45">
        <v>101</v>
      </c>
      <c r="E121" s="45">
        <v>0</v>
      </c>
      <c r="F121" s="45">
        <f>'NonPublic Enrollment'!$E121*0.1</f>
        <v>0</v>
      </c>
      <c r="G121" s="45">
        <v>0</v>
      </c>
      <c r="H121" s="45">
        <f>'NonPublic Enrollment'!$G121*0.7374</f>
        <v>0</v>
      </c>
      <c r="I121" s="45">
        <v>0</v>
      </c>
      <c r="J121" s="45">
        <f>'NonPublic Enrollment'!$I121*0.2906</f>
        <v>0</v>
      </c>
      <c r="K121" s="45">
        <f>'NonPublic Enrollment'!$D121+'NonPublic Enrollment'!$F121+'NonPublic Enrollment'!$H121+'NonPublic Enrollment'!$J121</f>
        <v>101</v>
      </c>
      <c r="L121" s="39" t="s">
        <v>2562</v>
      </c>
    </row>
    <row r="122" spans="1:12">
      <c r="A122" s="36" t="s">
        <v>2561</v>
      </c>
      <c r="B122" s="36" t="str">
        <f>"093864"</f>
        <v>093864</v>
      </c>
      <c r="C122" s="36" t="s">
        <v>3100</v>
      </c>
      <c r="D122" s="44">
        <v>13</v>
      </c>
      <c r="E122" s="44">
        <v>0</v>
      </c>
      <c r="F122" s="44">
        <f>'NonPublic Enrollment'!$E122*0.1</f>
        <v>0</v>
      </c>
      <c r="G122" s="44">
        <v>0</v>
      </c>
      <c r="H122" s="44">
        <f>'NonPublic Enrollment'!$G122*0.7374</f>
        <v>0</v>
      </c>
      <c r="I122" s="44">
        <v>0</v>
      </c>
      <c r="J122" s="44">
        <f>'NonPublic Enrollment'!$I122*0.2906</f>
        <v>0</v>
      </c>
      <c r="K122" s="44">
        <f>'NonPublic Enrollment'!$D122+'NonPublic Enrollment'!$F122+'NonPublic Enrollment'!$H122+'NonPublic Enrollment'!$J122</f>
        <v>13</v>
      </c>
      <c r="L122" s="37" t="s">
        <v>2572</v>
      </c>
    </row>
    <row r="123" spans="1:12">
      <c r="A123" s="38" t="s">
        <v>2561</v>
      </c>
      <c r="B123" s="38" t="str">
        <f>"094565"</f>
        <v>094565</v>
      </c>
      <c r="C123" s="38" t="s">
        <v>3099</v>
      </c>
      <c r="D123" s="45">
        <v>116</v>
      </c>
      <c r="E123" s="45">
        <v>0</v>
      </c>
      <c r="F123" s="45">
        <f>'NonPublic Enrollment'!$E123*0.1</f>
        <v>0</v>
      </c>
      <c r="G123" s="45">
        <v>0</v>
      </c>
      <c r="H123" s="45">
        <f>'NonPublic Enrollment'!$G123*0.7374</f>
        <v>0</v>
      </c>
      <c r="I123" s="45">
        <v>0</v>
      </c>
      <c r="J123" s="45">
        <f>'NonPublic Enrollment'!$I123*0.2906</f>
        <v>0</v>
      </c>
      <c r="K123" s="45">
        <f>'NonPublic Enrollment'!$D123+'NonPublic Enrollment'!$F123+'NonPublic Enrollment'!$H123+'NonPublic Enrollment'!$J123</f>
        <v>116</v>
      </c>
      <c r="L123" s="39" t="s">
        <v>2562</v>
      </c>
    </row>
    <row r="124" spans="1:12">
      <c r="A124" s="36" t="s">
        <v>2561</v>
      </c>
      <c r="B124" s="36" t="str">
        <f>"096156"</f>
        <v>096156</v>
      </c>
      <c r="C124" s="36" t="s">
        <v>3098</v>
      </c>
      <c r="D124" s="44">
        <v>14</v>
      </c>
      <c r="E124" s="44">
        <v>0</v>
      </c>
      <c r="F124" s="44">
        <f>'NonPublic Enrollment'!$E124*0.1</f>
        <v>0</v>
      </c>
      <c r="G124" s="44">
        <v>0</v>
      </c>
      <c r="H124" s="44">
        <f>'NonPublic Enrollment'!$G124*0.7374</f>
        <v>0</v>
      </c>
      <c r="I124" s="44">
        <v>0</v>
      </c>
      <c r="J124" s="44">
        <f>'NonPublic Enrollment'!$I124*0.2906</f>
        <v>0</v>
      </c>
      <c r="K124" s="44">
        <f>'NonPublic Enrollment'!$D124+'NonPublic Enrollment'!$F124+'NonPublic Enrollment'!$H124+'NonPublic Enrollment'!$J124</f>
        <v>14</v>
      </c>
      <c r="L124" s="37" t="s">
        <v>2562</v>
      </c>
    </row>
    <row r="125" spans="1:12">
      <c r="A125" s="38" t="s">
        <v>2561</v>
      </c>
      <c r="B125" s="38" t="str">
        <f>"096164"</f>
        <v>096164</v>
      </c>
      <c r="C125" s="38" t="s">
        <v>3097</v>
      </c>
      <c r="D125" s="45">
        <v>18</v>
      </c>
      <c r="E125" s="45">
        <v>0</v>
      </c>
      <c r="F125" s="45">
        <f>'NonPublic Enrollment'!$E125*0.1</f>
        <v>0</v>
      </c>
      <c r="G125" s="45">
        <v>0</v>
      </c>
      <c r="H125" s="45">
        <f>'NonPublic Enrollment'!$G125*0.7374</f>
        <v>0</v>
      </c>
      <c r="I125" s="45">
        <v>0</v>
      </c>
      <c r="J125" s="45">
        <f>'NonPublic Enrollment'!$I125*0.2906</f>
        <v>0</v>
      </c>
      <c r="K125" s="45">
        <f>'NonPublic Enrollment'!$D125+'NonPublic Enrollment'!$F125+'NonPublic Enrollment'!$H125+'NonPublic Enrollment'!$J125</f>
        <v>18</v>
      </c>
      <c r="L125" s="39" t="s">
        <v>2562</v>
      </c>
    </row>
    <row r="126" spans="1:12">
      <c r="A126" s="36" t="s">
        <v>2561</v>
      </c>
      <c r="B126" s="36" t="str">
        <f>"096172"</f>
        <v>096172</v>
      </c>
      <c r="C126" s="36" t="s">
        <v>3096</v>
      </c>
      <c r="D126" s="44">
        <v>14</v>
      </c>
      <c r="E126" s="44">
        <v>0</v>
      </c>
      <c r="F126" s="44">
        <f>'NonPublic Enrollment'!$E126*0.1</f>
        <v>0</v>
      </c>
      <c r="G126" s="44">
        <v>0</v>
      </c>
      <c r="H126" s="44">
        <f>'NonPublic Enrollment'!$G126*0.7374</f>
        <v>0</v>
      </c>
      <c r="I126" s="44">
        <v>0</v>
      </c>
      <c r="J126" s="44">
        <f>'NonPublic Enrollment'!$I126*0.2906</f>
        <v>0</v>
      </c>
      <c r="K126" s="44">
        <f>'NonPublic Enrollment'!$D126+'NonPublic Enrollment'!$F126+'NonPublic Enrollment'!$H126+'NonPublic Enrollment'!$J126</f>
        <v>14</v>
      </c>
      <c r="L126" s="37" t="s">
        <v>2562</v>
      </c>
    </row>
    <row r="127" spans="1:12">
      <c r="A127" s="38" t="s">
        <v>2561</v>
      </c>
      <c r="B127" s="38" t="str">
        <f>"096263"</f>
        <v>096263</v>
      </c>
      <c r="C127" s="38" t="s">
        <v>3095</v>
      </c>
      <c r="D127" s="45">
        <v>17</v>
      </c>
      <c r="E127" s="45">
        <v>0</v>
      </c>
      <c r="F127" s="45">
        <f>'NonPublic Enrollment'!$E127*0.1</f>
        <v>0</v>
      </c>
      <c r="G127" s="45">
        <v>0</v>
      </c>
      <c r="H127" s="45">
        <f>'NonPublic Enrollment'!$G127*0.7374</f>
        <v>0</v>
      </c>
      <c r="I127" s="45">
        <v>0</v>
      </c>
      <c r="J127" s="45">
        <f>'NonPublic Enrollment'!$I127*0.2906</f>
        <v>0</v>
      </c>
      <c r="K127" s="45">
        <f>'NonPublic Enrollment'!$D127+'NonPublic Enrollment'!$F127+'NonPublic Enrollment'!$H127+'NonPublic Enrollment'!$J127</f>
        <v>17</v>
      </c>
      <c r="L127" s="39" t="s">
        <v>2562</v>
      </c>
    </row>
    <row r="128" spans="1:12">
      <c r="A128" s="36" t="s">
        <v>2561</v>
      </c>
      <c r="B128" s="36" t="str">
        <f>"096289"</f>
        <v>096289</v>
      </c>
      <c r="C128" s="36" t="s">
        <v>3094</v>
      </c>
      <c r="D128" s="44">
        <v>31</v>
      </c>
      <c r="E128" s="44">
        <v>0</v>
      </c>
      <c r="F128" s="44">
        <f>'NonPublic Enrollment'!$E128*0.1</f>
        <v>0</v>
      </c>
      <c r="G128" s="44">
        <v>0</v>
      </c>
      <c r="H128" s="44">
        <f>'NonPublic Enrollment'!$G128*0.7374</f>
        <v>0</v>
      </c>
      <c r="I128" s="44">
        <v>0</v>
      </c>
      <c r="J128" s="44">
        <f>'NonPublic Enrollment'!$I128*0.2906</f>
        <v>0</v>
      </c>
      <c r="K128" s="44">
        <f>'NonPublic Enrollment'!$D128+'NonPublic Enrollment'!$F128+'NonPublic Enrollment'!$H128+'NonPublic Enrollment'!$J128</f>
        <v>31</v>
      </c>
      <c r="L128" s="37" t="s">
        <v>2562</v>
      </c>
    </row>
    <row r="129" spans="1:12">
      <c r="A129" s="38" t="s">
        <v>2561</v>
      </c>
      <c r="B129" s="38" t="str">
        <f>"096347"</f>
        <v>096347</v>
      </c>
      <c r="C129" s="38" t="s">
        <v>3093</v>
      </c>
      <c r="D129" s="45">
        <v>88</v>
      </c>
      <c r="E129" s="45">
        <v>0</v>
      </c>
      <c r="F129" s="45">
        <f>'NonPublic Enrollment'!$E129*0.1</f>
        <v>0</v>
      </c>
      <c r="G129" s="45">
        <v>0</v>
      </c>
      <c r="H129" s="45">
        <f>'NonPublic Enrollment'!$G129*0.7374</f>
        <v>0</v>
      </c>
      <c r="I129" s="45">
        <v>0</v>
      </c>
      <c r="J129" s="45">
        <f>'NonPublic Enrollment'!$I129*0.2906</f>
        <v>0</v>
      </c>
      <c r="K129" s="45">
        <f>'NonPublic Enrollment'!$D129+'NonPublic Enrollment'!$F129+'NonPublic Enrollment'!$H129+'NonPublic Enrollment'!$J129</f>
        <v>88</v>
      </c>
      <c r="L129" s="39" t="s">
        <v>2562</v>
      </c>
    </row>
    <row r="130" spans="1:12">
      <c r="A130" s="36" t="s">
        <v>2561</v>
      </c>
      <c r="B130" s="36" t="str">
        <f>"096693"</f>
        <v>096693</v>
      </c>
      <c r="C130" s="36" t="s">
        <v>3092</v>
      </c>
      <c r="D130" s="44">
        <v>149</v>
      </c>
      <c r="E130" s="44">
        <v>0</v>
      </c>
      <c r="F130" s="44">
        <f>'NonPublic Enrollment'!$E130*0.1</f>
        <v>0</v>
      </c>
      <c r="G130" s="44">
        <v>0</v>
      </c>
      <c r="H130" s="44">
        <f>'NonPublic Enrollment'!$G130*0.7374</f>
        <v>0</v>
      </c>
      <c r="I130" s="44">
        <v>0</v>
      </c>
      <c r="J130" s="44">
        <f>'NonPublic Enrollment'!$I130*0.2906</f>
        <v>0</v>
      </c>
      <c r="K130" s="44">
        <f>'NonPublic Enrollment'!$D130+'NonPublic Enrollment'!$F130+'NonPublic Enrollment'!$H130+'NonPublic Enrollment'!$J130</f>
        <v>149</v>
      </c>
      <c r="L130" s="37" t="s">
        <v>2562</v>
      </c>
    </row>
    <row r="131" spans="1:12">
      <c r="A131" s="38" t="s">
        <v>2561</v>
      </c>
      <c r="B131" s="38" t="str">
        <f>"097527"</f>
        <v>097527</v>
      </c>
      <c r="C131" s="38" t="s">
        <v>3091</v>
      </c>
      <c r="D131" s="45">
        <v>16</v>
      </c>
      <c r="E131" s="45">
        <v>0</v>
      </c>
      <c r="F131" s="45">
        <f>'NonPublic Enrollment'!$E131*0.1</f>
        <v>0</v>
      </c>
      <c r="G131" s="45">
        <v>0</v>
      </c>
      <c r="H131" s="45">
        <f>'NonPublic Enrollment'!$G131*0.7374</f>
        <v>0</v>
      </c>
      <c r="I131" s="45">
        <v>0</v>
      </c>
      <c r="J131" s="45">
        <f>'NonPublic Enrollment'!$I131*0.2906</f>
        <v>0</v>
      </c>
      <c r="K131" s="45">
        <f>'NonPublic Enrollment'!$D131+'NonPublic Enrollment'!$F131+'NonPublic Enrollment'!$H131+'NonPublic Enrollment'!$J131</f>
        <v>16</v>
      </c>
      <c r="L131" s="39" t="s">
        <v>2562</v>
      </c>
    </row>
    <row r="132" spans="1:12">
      <c r="A132" s="36" t="s">
        <v>2561</v>
      </c>
      <c r="B132" s="36" t="str">
        <f>"097683"</f>
        <v>097683</v>
      </c>
      <c r="C132" s="36" t="s">
        <v>3090</v>
      </c>
      <c r="D132" s="44">
        <v>222</v>
      </c>
      <c r="E132" s="44">
        <v>0</v>
      </c>
      <c r="F132" s="44">
        <f>'NonPublic Enrollment'!$E132*0.1</f>
        <v>0</v>
      </c>
      <c r="G132" s="44">
        <v>0</v>
      </c>
      <c r="H132" s="44">
        <f>'NonPublic Enrollment'!$G132*0.7374</f>
        <v>0</v>
      </c>
      <c r="I132" s="44">
        <v>0</v>
      </c>
      <c r="J132" s="44">
        <f>'NonPublic Enrollment'!$I132*0.2906</f>
        <v>0</v>
      </c>
      <c r="K132" s="44">
        <f>'NonPublic Enrollment'!$D132+'NonPublic Enrollment'!$F132+'NonPublic Enrollment'!$H132+'NonPublic Enrollment'!$J132</f>
        <v>222</v>
      </c>
      <c r="L132" s="37" t="s">
        <v>2562</v>
      </c>
    </row>
    <row r="133" spans="1:12">
      <c r="A133" s="38" t="s">
        <v>2561</v>
      </c>
      <c r="B133" s="38" t="str">
        <f>"097931"</f>
        <v>097931</v>
      </c>
      <c r="C133" s="38" t="s">
        <v>3089</v>
      </c>
      <c r="D133" s="45">
        <v>123</v>
      </c>
      <c r="E133" s="45">
        <v>0</v>
      </c>
      <c r="F133" s="45">
        <f>'NonPublic Enrollment'!$E133*0.1</f>
        <v>0</v>
      </c>
      <c r="G133" s="45">
        <v>0</v>
      </c>
      <c r="H133" s="45">
        <f>'NonPublic Enrollment'!$G133*0.7374</f>
        <v>0</v>
      </c>
      <c r="I133" s="45">
        <v>0</v>
      </c>
      <c r="J133" s="45">
        <f>'NonPublic Enrollment'!$I133*0.2906</f>
        <v>0</v>
      </c>
      <c r="K133" s="45">
        <f>'NonPublic Enrollment'!$D133+'NonPublic Enrollment'!$F133+'NonPublic Enrollment'!$H133+'NonPublic Enrollment'!$J133</f>
        <v>123</v>
      </c>
      <c r="L133" s="39" t="s">
        <v>2572</v>
      </c>
    </row>
    <row r="134" spans="1:12">
      <c r="A134" s="36" t="s">
        <v>2561</v>
      </c>
      <c r="B134" s="36" t="str">
        <f>"098533"</f>
        <v>098533</v>
      </c>
      <c r="C134" s="36" t="s">
        <v>3088</v>
      </c>
      <c r="D134" s="44">
        <v>84</v>
      </c>
      <c r="E134" s="44">
        <v>0</v>
      </c>
      <c r="F134" s="44">
        <f>'NonPublic Enrollment'!$E134*0.1</f>
        <v>0</v>
      </c>
      <c r="G134" s="44">
        <v>0</v>
      </c>
      <c r="H134" s="44">
        <f>'NonPublic Enrollment'!$G134*0.7374</f>
        <v>0</v>
      </c>
      <c r="I134" s="44">
        <v>0</v>
      </c>
      <c r="J134" s="44">
        <f>'NonPublic Enrollment'!$I134*0.2906</f>
        <v>0</v>
      </c>
      <c r="K134" s="44">
        <f>'NonPublic Enrollment'!$D134+'NonPublic Enrollment'!$F134+'NonPublic Enrollment'!$H134+'NonPublic Enrollment'!$J134</f>
        <v>84</v>
      </c>
      <c r="L134" s="37" t="s">
        <v>2562</v>
      </c>
    </row>
    <row r="135" spans="1:12">
      <c r="A135" s="38" t="s">
        <v>2561</v>
      </c>
      <c r="B135" s="38" t="str">
        <f>"099127"</f>
        <v>099127</v>
      </c>
      <c r="C135" s="38" t="s">
        <v>3087</v>
      </c>
      <c r="D135" s="45">
        <v>20</v>
      </c>
      <c r="E135" s="45">
        <v>0</v>
      </c>
      <c r="F135" s="45">
        <f>'NonPublic Enrollment'!$E135*0.1</f>
        <v>0</v>
      </c>
      <c r="G135" s="45">
        <v>0</v>
      </c>
      <c r="H135" s="45">
        <f>'NonPublic Enrollment'!$G135*0.7374</f>
        <v>0</v>
      </c>
      <c r="I135" s="45">
        <v>0</v>
      </c>
      <c r="J135" s="45">
        <f>'NonPublic Enrollment'!$I135*0.2906</f>
        <v>0</v>
      </c>
      <c r="K135" s="45">
        <f>'NonPublic Enrollment'!$D135+'NonPublic Enrollment'!$F135+'NonPublic Enrollment'!$H135+'NonPublic Enrollment'!$J135</f>
        <v>20</v>
      </c>
      <c r="L135" s="39" t="s">
        <v>2559</v>
      </c>
    </row>
    <row r="136" spans="1:12">
      <c r="A136" s="36" t="s">
        <v>2561</v>
      </c>
      <c r="B136" s="36" t="str">
        <f>"110403"</f>
        <v>110403</v>
      </c>
      <c r="C136" s="36" t="s">
        <v>3086</v>
      </c>
      <c r="D136" s="44">
        <v>53</v>
      </c>
      <c r="E136" s="44">
        <v>0</v>
      </c>
      <c r="F136" s="44">
        <f>'NonPublic Enrollment'!$E136*0.1</f>
        <v>0</v>
      </c>
      <c r="G136" s="44">
        <v>0</v>
      </c>
      <c r="H136" s="44">
        <f>'NonPublic Enrollment'!$G136*0.7374</f>
        <v>0</v>
      </c>
      <c r="I136" s="44">
        <v>0</v>
      </c>
      <c r="J136" s="44">
        <f>'NonPublic Enrollment'!$I136*0.2906</f>
        <v>0</v>
      </c>
      <c r="K136" s="44">
        <f>'NonPublic Enrollment'!$D136+'NonPublic Enrollment'!$F136+'NonPublic Enrollment'!$H136+'NonPublic Enrollment'!$J136</f>
        <v>53</v>
      </c>
      <c r="L136" s="37" t="s">
        <v>2562</v>
      </c>
    </row>
    <row r="137" spans="1:12">
      <c r="A137" s="38" t="s">
        <v>2561</v>
      </c>
      <c r="B137" s="38" t="str">
        <f>"110692"</f>
        <v>110692</v>
      </c>
      <c r="C137" s="38" t="s">
        <v>3085</v>
      </c>
      <c r="D137" s="45">
        <v>61</v>
      </c>
      <c r="E137" s="45">
        <v>0</v>
      </c>
      <c r="F137" s="45">
        <f>'NonPublic Enrollment'!$E137*0.1</f>
        <v>0</v>
      </c>
      <c r="G137" s="45">
        <v>0</v>
      </c>
      <c r="H137" s="45">
        <f>'NonPublic Enrollment'!$G137*0.7374</f>
        <v>0</v>
      </c>
      <c r="I137" s="45">
        <v>0</v>
      </c>
      <c r="J137" s="45">
        <f>'NonPublic Enrollment'!$I137*0.2906</f>
        <v>0</v>
      </c>
      <c r="K137" s="45">
        <f>'NonPublic Enrollment'!$D137+'NonPublic Enrollment'!$F137+'NonPublic Enrollment'!$H137+'NonPublic Enrollment'!$J137</f>
        <v>61</v>
      </c>
      <c r="L137" s="39" t="s">
        <v>2562</v>
      </c>
    </row>
    <row r="138" spans="1:12">
      <c r="A138" s="36" t="s">
        <v>2561</v>
      </c>
      <c r="B138" s="36" t="str">
        <f>"111484"</f>
        <v>111484</v>
      </c>
      <c r="C138" s="36" t="s">
        <v>3084</v>
      </c>
      <c r="D138" s="44">
        <v>16</v>
      </c>
      <c r="E138" s="44">
        <v>0</v>
      </c>
      <c r="F138" s="44">
        <f>'NonPublic Enrollment'!$E138*0.1</f>
        <v>0</v>
      </c>
      <c r="G138" s="44">
        <v>0</v>
      </c>
      <c r="H138" s="44">
        <f>'NonPublic Enrollment'!$G138*0.7374</f>
        <v>0</v>
      </c>
      <c r="I138" s="44">
        <v>0</v>
      </c>
      <c r="J138" s="44">
        <f>'NonPublic Enrollment'!$I138*0.2906</f>
        <v>0</v>
      </c>
      <c r="K138" s="44">
        <f>'NonPublic Enrollment'!$D138+'NonPublic Enrollment'!$F138+'NonPublic Enrollment'!$H138+'NonPublic Enrollment'!$J138</f>
        <v>16</v>
      </c>
      <c r="L138" s="37" t="s">
        <v>2559</v>
      </c>
    </row>
    <row r="139" spans="1:12">
      <c r="A139" s="38" t="s">
        <v>2561</v>
      </c>
      <c r="B139" s="38" t="str">
        <f>"111633"</f>
        <v>111633</v>
      </c>
      <c r="C139" s="38" t="s">
        <v>3083</v>
      </c>
      <c r="D139" s="45">
        <v>0</v>
      </c>
      <c r="E139" s="45">
        <v>0</v>
      </c>
      <c r="F139" s="45">
        <f>'NonPublic Enrollment'!$E139*0.1</f>
        <v>0</v>
      </c>
      <c r="G139" s="45">
        <v>0</v>
      </c>
      <c r="H139" s="45">
        <f>'NonPublic Enrollment'!$G139*0.7374</f>
        <v>0</v>
      </c>
      <c r="I139" s="45">
        <v>0</v>
      </c>
      <c r="J139" s="45">
        <f>'NonPublic Enrollment'!$I139*0.2906</f>
        <v>0</v>
      </c>
      <c r="K139" s="45">
        <f>'NonPublic Enrollment'!$D139+'NonPublic Enrollment'!$F139+'NonPublic Enrollment'!$H139+'NonPublic Enrollment'!$J139</f>
        <v>0</v>
      </c>
      <c r="L139" s="39" t="s">
        <v>2949</v>
      </c>
    </row>
    <row r="140" spans="1:12">
      <c r="A140" s="36" t="s">
        <v>2561</v>
      </c>
      <c r="B140" s="36" t="str">
        <f>"112110"</f>
        <v>112110</v>
      </c>
      <c r="C140" s="36" t="s">
        <v>3082</v>
      </c>
      <c r="D140" s="44">
        <v>148</v>
      </c>
      <c r="E140" s="44">
        <v>0</v>
      </c>
      <c r="F140" s="44">
        <f>'NonPublic Enrollment'!$E140*0.1</f>
        <v>0</v>
      </c>
      <c r="G140" s="44">
        <v>0</v>
      </c>
      <c r="H140" s="44">
        <f>'NonPublic Enrollment'!$G140*0.7374</f>
        <v>0</v>
      </c>
      <c r="I140" s="44">
        <v>0</v>
      </c>
      <c r="J140" s="44">
        <f>'NonPublic Enrollment'!$I140*0.2906</f>
        <v>0</v>
      </c>
      <c r="K140" s="44">
        <f>'NonPublic Enrollment'!$D140+'NonPublic Enrollment'!$F140+'NonPublic Enrollment'!$H140+'NonPublic Enrollment'!$J140</f>
        <v>148</v>
      </c>
      <c r="L140" s="37" t="s">
        <v>2562</v>
      </c>
    </row>
    <row r="141" spans="1:12">
      <c r="A141" s="38" t="s">
        <v>2561</v>
      </c>
      <c r="B141" s="38" t="str">
        <f>"112516"</f>
        <v>112516</v>
      </c>
      <c r="C141" s="38" t="s">
        <v>3081</v>
      </c>
      <c r="D141" s="45">
        <v>15</v>
      </c>
      <c r="E141" s="45">
        <v>0</v>
      </c>
      <c r="F141" s="45">
        <f>'NonPublic Enrollment'!$E141*0.1</f>
        <v>0</v>
      </c>
      <c r="G141" s="45">
        <v>0</v>
      </c>
      <c r="H141" s="45">
        <f>'NonPublic Enrollment'!$G141*0.7374</f>
        <v>0</v>
      </c>
      <c r="I141" s="45">
        <v>0</v>
      </c>
      <c r="J141" s="45">
        <f>'NonPublic Enrollment'!$I141*0.2906</f>
        <v>0</v>
      </c>
      <c r="K141" s="45">
        <f>'NonPublic Enrollment'!$D141+'NonPublic Enrollment'!$F141+'NonPublic Enrollment'!$H141+'NonPublic Enrollment'!$J141</f>
        <v>15</v>
      </c>
      <c r="L141" s="39" t="s">
        <v>2572</v>
      </c>
    </row>
    <row r="142" spans="1:12">
      <c r="A142" s="36" t="s">
        <v>2561</v>
      </c>
      <c r="B142" s="36" t="str">
        <f>"112680"</f>
        <v>112680</v>
      </c>
      <c r="C142" s="36" t="s">
        <v>3080</v>
      </c>
      <c r="D142" s="44">
        <v>5</v>
      </c>
      <c r="E142" s="44">
        <v>0</v>
      </c>
      <c r="F142" s="44">
        <f>'NonPublic Enrollment'!$E142*0.1</f>
        <v>0</v>
      </c>
      <c r="G142" s="44">
        <v>0</v>
      </c>
      <c r="H142" s="44">
        <f>'NonPublic Enrollment'!$G142*0.7374</f>
        <v>0</v>
      </c>
      <c r="I142" s="44">
        <v>0</v>
      </c>
      <c r="J142" s="44">
        <f>'NonPublic Enrollment'!$I142*0.2906</f>
        <v>0</v>
      </c>
      <c r="K142" s="44">
        <f>'NonPublic Enrollment'!$D142+'NonPublic Enrollment'!$F142+'NonPublic Enrollment'!$H142+'NonPublic Enrollment'!$J142</f>
        <v>5</v>
      </c>
      <c r="L142" s="37" t="s">
        <v>2562</v>
      </c>
    </row>
    <row r="143" spans="1:12">
      <c r="A143" s="38" t="s">
        <v>2561</v>
      </c>
      <c r="B143" s="38" t="str">
        <f>"114769"</f>
        <v>114769</v>
      </c>
      <c r="C143" s="38" t="s">
        <v>3079</v>
      </c>
      <c r="D143" s="45">
        <v>0</v>
      </c>
      <c r="E143" s="45">
        <v>0</v>
      </c>
      <c r="F143" s="45">
        <f>'NonPublic Enrollment'!$E143*0.1</f>
        <v>0</v>
      </c>
      <c r="G143" s="45">
        <v>0</v>
      </c>
      <c r="H143" s="45">
        <f>'NonPublic Enrollment'!$G143*0.7374</f>
        <v>0</v>
      </c>
      <c r="I143" s="45">
        <v>0</v>
      </c>
      <c r="J143" s="45">
        <f>'NonPublic Enrollment'!$I143*0.2906</f>
        <v>0</v>
      </c>
      <c r="K143" s="45">
        <f>'NonPublic Enrollment'!$D143+'NonPublic Enrollment'!$F143+'NonPublic Enrollment'!$H143+'NonPublic Enrollment'!$J143</f>
        <v>0</v>
      </c>
      <c r="L143" s="39" t="s">
        <v>2949</v>
      </c>
    </row>
    <row r="144" spans="1:12">
      <c r="A144" s="36" t="s">
        <v>2561</v>
      </c>
      <c r="B144" s="36" t="str">
        <f>"114777"</f>
        <v>114777</v>
      </c>
      <c r="C144" s="36" t="s">
        <v>3078</v>
      </c>
      <c r="D144" s="44">
        <v>17</v>
      </c>
      <c r="E144" s="44">
        <v>0</v>
      </c>
      <c r="F144" s="44">
        <f>'NonPublic Enrollment'!$E144*0.1</f>
        <v>0</v>
      </c>
      <c r="G144" s="44">
        <v>0</v>
      </c>
      <c r="H144" s="44">
        <f>'NonPublic Enrollment'!$G144*0.7374</f>
        <v>0</v>
      </c>
      <c r="I144" s="44">
        <v>0</v>
      </c>
      <c r="J144" s="44">
        <f>'NonPublic Enrollment'!$I144*0.2906</f>
        <v>0</v>
      </c>
      <c r="K144" s="44">
        <f>'NonPublic Enrollment'!$D144+'NonPublic Enrollment'!$F144+'NonPublic Enrollment'!$H144+'NonPublic Enrollment'!$J144</f>
        <v>17</v>
      </c>
      <c r="L144" s="37" t="s">
        <v>2562</v>
      </c>
    </row>
    <row r="145" spans="1:12">
      <c r="A145" s="38" t="s">
        <v>2561</v>
      </c>
      <c r="B145" s="38" t="str">
        <f>"114785"</f>
        <v>114785</v>
      </c>
      <c r="C145" s="38" t="s">
        <v>3077</v>
      </c>
      <c r="D145" s="45">
        <v>0</v>
      </c>
      <c r="E145" s="45">
        <v>0</v>
      </c>
      <c r="F145" s="45">
        <f>'NonPublic Enrollment'!$E145*0.1</f>
        <v>0</v>
      </c>
      <c r="G145" s="45">
        <v>0</v>
      </c>
      <c r="H145" s="45">
        <f>'NonPublic Enrollment'!$G145*0.7374</f>
        <v>0</v>
      </c>
      <c r="I145" s="45">
        <v>0</v>
      </c>
      <c r="J145" s="45">
        <f>'NonPublic Enrollment'!$I145*0.2906</f>
        <v>0</v>
      </c>
      <c r="K145" s="45">
        <f>'NonPublic Enrollment'!$D145+'NonPublic Enrollment'!$F145+'NonPublic Enrollment'!$H145+'NonPublic Enrollment'!$J145</f>
        <v>0</v>
      </c>
      <c r="L145" s="39" t="s">
        <v>2949</v>
      </c>
    </row>
    <row r="146" spans="1:12">
      <c r="A146" s="36" t="s">
        <v>2561</v>
      </c>
      <c r="B146" s="36" t="str">
        <f>"115535"</f>
        <v>115535</v>
      </c>
      <c r="C146" s="36" t="s">
        <v>3076</v>
      </c>
      <c r="D146" s="44">
        <v>117</v>
      </c>
      <c r="E146" s="44">
        <v>0</v>
      </c>
      <c r="F146" s="44">
        <f>'NonPublic Enrollment'!$E146*0.1</f>
        <v>0</v>
      </c>
      <c r="G146" s="44">
        <v>0</v>
      </c>
      <c r="H146" s="44">
        <f>'NonPublic Enrollment'!$G146*0.7374</f>
        <v>0</v>
      </c>
      <c r="I146" s="44">
        <v>0</v>
      </c>
      <c r="J146" s="44">
        <f>'NonPublic Enrollment'!$I146*0.2906</f>
        <v>0</v>
      </c>
      <c r="K146" s="44">
        <f>'NonPublic Enrollment'!$D146+'NonPublic Enrollment'!$F146+'NonPublic Enrollment'!$H146+'NonPublic Enrollment'!$J146</f>
        <v>117</v>
      </c>
      <c r="L146" s="37" t="s">
        <v>2562</v>
      </c>
    </row>
    <row r="147" spans="1:12">
      <c r="A147" s="38" t="s">
        <v>2561</v>
      </c>
      <c r="B147" s="38" t="str">
        <f>"115592"</f>
        <v>115592</v>
      </c>
      <c r="C147" s="38" t="s">
        <v>3075</v>
      </c>
      <c r="D147" s="45">
        <v>15</v>
      </c>
      <c r="E147" s="45">
        <v>0</v>
      </c>
      <c r="F147" s="45">
        <f>'NonPublic Enrollment'!$E147*0.1</f>
        <v>0</v>
      </c>
      <c r="G147" s="45">
        <v>0</v>
      </c>
      <c r="H147" s="45">
        <f>'NonPublic Enrollment'!$G147*0.7374</f>
        <v>0</v>
      </c>
      <c r="I147" s="45">
        <v>0</v>
      </c>
      <c r="J147" s="45">
        <f>'NonPublic Enrollment'!$I147*0.2906</f>
        <v>0</v>
      </c>
      <c r="K147" s="45">
        <f>'NonPublic Enrollment'!$D147+'NonPublic Enrollment'!$F147+'NonPublic Enrollment'!$H147+'NonPublic Enrollment'!$J147</f>
        <v>15</v>
      </c>
      <c r="L147" s="39" t="s">
        <v>2559</v>
      </c>
    </row>
    <row r="148" spans="1:12">
      <c r="A148" s="36" t="s">
        <v>2561</v>
      </c>
      <c r="B148" s="36" t="str">
        <f>"116616"</f>
        <v>116616</v>
      </c>
      <c r="C148" s="36" t="s">
        <v>3074</v>
      </c>
      <c r="D148" s="44">
        <v>8</v>
      </c>
      <c r="E148" s="44">
        <v>0</v>
      </c>
      <c r="F148" s="44">
        <f>'NonPublic Enrollment'!$E148*0.1</f>
        <v>0</v>
      </c>
      <c r="G148" s="44">
        <v>0</v>
      </c>
      <c r="H148" s="44">
        <f>'NonPublic Enrollment'!$G148*0.7374</f>
        <v>0</v>
      </c>
      <c r="I148" s="44">
        <v>0</v>
      </c>
      <c r="J148" s="44">
        <f>'NonPublic Enrollment'!$I148*0.2906</f>
        <v>0</v>
      </c>
      <c r="K148" s="44">
        <f>'NonPublic Enrollment'!$D148+'NonPublic Enrollment'!$F148+'NonPublic Enrollment'!$H148+'NonPublic Enrollment'!$J148</f>
        <v>8</v>
      </c>
      <c r="L148" s="37" t="s">
        <v>2569</v>
      </c>
    </row>
    <row r="149" spans="1:12">
      <c r="A149" s="38" t="s">
        <v>2561</v>
      </c>
      <c r="B149" s="38" t="str">
        <f>"116624"</f>
        <v>116624</v>
      </c>
      <c r="C149" s="38" t="s">
        <v>3073</v>
      </c>
      <c r="D149" s="45">
        <v>15</v>
      </c>
      <c r="E149" s="45">
        <v>0</v>
      </c>
      <c r="F149" s="45">
        <f>'NonPublic Enrollment'!$E149*0.1</f>
        <v>0</v>
      </c>
      <c r="G149" s="45">
        <v>0</v>
      </c>
      <c r="H149" s="45">
        <f>'NonPublic Enrollment'!$G149*0.7374</f>
        <v>0</v>
      </c>
      <c r="I149" s="45">
        <v>0</v>
      </c>
      <c r="J149" s="45">
        <f>'NonPublic Enrollment'!$I149*0.2906</f>
        <v>0</v>
      </c>
      <c r="K149" s="45">
        <f>'NonPublic Enrollment'!$D149+'NonPublic Enrollment'!$F149+'NonPublic Enrollment'!$H149+'NonPublic Enrollment'!$J149</f>
        <v>15</v>
      </c>
      <c r="L149" s="39" t="s">
        <v>2562</v>
      </c>
    </row>
    <row r="150" spans="1:12">
      <c r="A150" s="36" t="s">
        <v>2561</v>
      </c>
      <c r="B150" s="36" t="str">
        <f>"118026"</f>
        <v>118026</v>
      </c>
      <c r="C150" s="36" t="s">
        <v>3072</v>
      </c>
      <c r="D150" s="44">
        <v>0</v>
      </c>
      <c r="E150" s="44">
        <v>0</v>
      </c>
      <c r="F150" s="44">
        <f>'NonPublic Enrollment'!$E150*0.1</f>
        <v>0</v>
      </c>
      <c r="G150" s="44">
        <v>0</v>
      </c>
      <c r="H150" s="44">
        <f>'NonPublic Enrollment'!$G150*0.7374</f>
        <v>0</v>
      </c>
      <c r="I150" s="44">
        <v>0</v>
      </c>
      <c r="J150" s="44">
        <f>'NonPublic Enrollment'!$I150*0.2906</f>
        <v>0</v>
      </c>
      <c r="K150" s="44">
        <f>'NonPublic Enrollment'!$D150+'NonPublic Enrollment'!$F150+'NonPublic Enrollment'!$H150+'NonPublic Enrollment'!$J150</f>
        <v>0</v>
      </c>
      <c r="L150" s="37" t="s">
        <v>2949</v>
      </c>
    </row>
    <row r="151" spans="1:12">
      <c r="A151" s="38" t="s">
        <v>2561</v>
      </c>
      <c r="B151" s="38" t="str">
        <f>"119248"</f>
        <v>119248</v>
      </c>
      <c r="C151" s="38" t="s">
        <v>3071</v>
      </c>
      <c r="D151" s="45">
        <v>5</v>
      </c>
      <c r="E151" s="45">
        <v>0</v>
      </c>
      <c r="F151" s="45">
        <f>'NonPublic Enrollment'!$E151*0.1</f>
        <v>0</v>
      </c>
      <c r="G151" s="45">
        <v>0</v>
      </c>
      <c r="H151" s="45">
        <f>'NonPublic Enrollment'!$G151*0.7374</f>
        <v>0</v>
      </c>
      <c r="I151" s="45">
        <v>0</v>
      </c>
      <c r="J151" s="45">
        <f>'NonPublic Enrollment'!$I151*0.2906</f>
        <v>0</v>
      </c>
      <c r="K151" s="45">
        <f>'NonPublic Enrollment'!$D151+'NonPublic Enrollment'!$F151+'NonPublic Enrollment'!$H151+'NonPublic Enrollment'!$J151</f>
        <v>5</v>
      </c>
      <c r="L151" s="39" t="s">
        <v>2562</v>
      </c>
    </row>
    <row r="152" spans="1:12">
      <c r="A152" s="36" t="s">
        <v>2561</v>
      </c>
      <c r="B152" s="36" t="str">
        <f>"119339"</f>
        <v>119339</v>
      </c>
      <c r="C152" s="36" t="s">
        <v>3070</v>
      </c>
      <c r="D152" s="44">
        <v>12</v>
      </c>
      <c r="E152" s="44">
        <v>0</v>
      </c>
      <c r="F152" s="44">
        <f>'NonPublic Enrollment'!$E152*0.1</f>
        <v>0</v>
      </c>
      <c r="G152" s="44">
        <v>0</v>
      </c>
      <c r="H152" s="44">
        <f>'NonPublic Enrollment'!$G152*0.7374</f>
        <v>0</v>
      </c>
      <c r="I152" s="44">
        <v>0</v>
      </c>
      <c r="J152" s="44">
        <f>'NonPublic Enrollment'!$I152*0.2906</f>
        <v>0</v>
      </c>
      <c r="K152" s="44">
        <f>'NonPublic Enrollment'!$D152+'NonPublic Enrollment'!$F152+'NonPublic Enrollment'!$H152+'NonPublic Enrollment'!$J152</f>
        <v>12</v>
      </c>
      <c r="L152" s="37" t="s">
        <v>2562</v>
      </c>
    </row>
    <row r="153" spans="1:12">
      <c r="A153" s="38" t="s">
        <v>2561</v>
      </c>
      <c r="B153" s="38" t="str">
        <f>"119917"</f>
        <v>119917</v>
      </c>
      <c r="C153" s="38" t="s">
        <v>3069</v>
      </c>
      <c r="D153" s="45">
        <v>4</v>
      </c>
      <c r="E153" s="45">
        <v>0</v>
      </c>
      <c r="F153" s="45">
        <f>'NonPublic Enrollment'!$E153*0.1</f>
        <v>0</v>
      </c>
      <c r="G153" s="45">
        <v>0</v>
      </c>
      <c r="H153" s="45">
        <f>'NonPublic Enrollment'!$G153*0.7374</f>
        <v>0</v>
      </c>
      <c r="I153" s="45">
        <v>0</v>
      </c>
      <c r="J153" s="45">
        <f>'NonPublic Enrollment'!$I153*0.2906</f>
        <v>0</v>
      </c>
      <c r="K153" s="45">
        <f>'NonPublic Enrollment'!$D153+'NonPublic Enrollment'!$F153+'NonPublic Enrollment'!$H153+'NonPublic Enrollment'!$J153</f>
        <v>4</v>
      </c>
      <c r="L153" s="39" t="s">
        <v>2562</v>
      </c>
    </row>
    <row r="154" spans="1:12">
      <c r="A154" s="36" t="s">
        <v>2561</v>
      </c>
      <c r="B154" s="36" t="str">
        <f>"119982"</f>
        <v>119982</v>
      </c>
      <c r="C154" s="36" t="s">
        <v>3068</v>
      </c>
      <c r="D154" s="44">
        <v>0</v>
      </c>
      <c r="E154" s="44">
        <v>0</v>
      </c>
      <c r="F154" s="44">
        <f>'NonPublic Enrollment'!$E154*0.1</f>
        <v>0</v>
      </c>
      <c r="G154" s="44">
        <v>0</v>
      </c>
      <c r="H154" s="44">
        <f>'NonPublic Enrollment'!$G154*0.7374</f>
        <v>0</v>
      </c>
      <c r="I154" s="44">
        <v>0</v>
      </c>
      <c r="J154" s="44">
        <f>'NonPublic Enrollment'!$I154*0.2906</f>
        <v>0</v>
      </c>
      <c r="K154" s="44">
        <f>'NonPublic Enrollment'!$D154+'NonPublic Enrollment'!$F154+'NonPublic Enrollment'!$H154+'NonPublic Enrollment'!$J154</f>
        <v>0</v>
      </c>
      <c r="L154" s="37" t="s">
        <v>2949</v>
      </c>
    </row>
    <row r="155" spans="1:12">
      <c r="A155" s="38" t="s">
        <v>2561</v>
      </c>
      <c r="B155" s="38" t="str">
        <f>"119990"</f>
        <v>119990</v>
      </c>
      <c r="C155" s="38" t="s">
        <v>3067</v>
      </c>
      <c r="D155" s="45">
        <v>64</v>
      </c>
      <c r="E155" s="45">
        <v>0</v>
      </c>
      <c r="F155" s="45">
        <f>'NonPublic Enrollment'!$E155*0.1</f>
        <v>0</v>
      </c>
      <c r="G155" s="45">
        <v>0</v>
      </c>
      <c r="H155" s="45">
        <f>'NonPublic Enrollment'!$G155*0.7374</f>
        <v>0</v>
      </c>
      <c r="I155" s="45">
        <v>0</v>
      </c>
      <c r="J155" s="45">
        <f>'NonPublic Enrollment'!$I155*0.2906</f>
        <v>0</v>
      </c>
      <c r="K155" s="45">
        <f>'NonPublic Enrollment'!$D155+'NonPublic Enrollment'!$F155+'NonPublic Enrollment'!$H155+'NonPublic Enrollment'!$J155</f>
        <v>64</v>
      </c>
      <c r="L155" s="39" t="s">
        <v>2562</v>
      </c>
    </row>
    <row r="156" spans="1:12">
      <c r="A156" s="36" t="s">
        <v>2561</v>
      </c>
      <c r="B156" s="36" t="str">
        <f>"120675"</f>
        <v>120675</v>
      </c>
      <c r="C156" s="36" t="s">
        <v>3066</v>
      </c>
      <c r="D156" s="44">
        <v>64</v>
      </c>
      <c r="E156" s="44">
        <v>0</v>
      </c>
      <c r="F156" s="44">
        <f>'NonPublic Enrollment'!$E156*0.1</f>
        <v>0</v>
      </c>
      <c r="G156" s="44">
        <v>0</v>
      </c>
      <c r="H156" s="44">
        <f>'NonPublic Enrollment'!$G156*0.7374</f>
        <v>0</v>
      </c>
      <c r="I156" s="44">
        <v>0</v>
      </c>
      <c r="J156" s="44">
        <f>'NonPublic Enrollment'!$I156*0.2906</f>
        <v>0</v>
      </c>
      <c r="K156" s="44">
        <f>'NonPublic Enrollment'!$D156+'NonPublic Enrollment'!$F156+'NonPublic Enrollment'!$H156+'NonPublic Enrollment'!$J156</f>
        <v>64</v>
      </c>
      <c r="L156" s="37" t="s">
        <v>2562</v>
      </c>
    </row>
    <row r="157" spans="1:12">
      <c r="A157" s="38" t="s">
        <v>2561</v>
      </c>
      <c r="B157" s="38" t="str">
        <f>"120824"</f>
        <v>120824</v>
      </c>
      <c r="C157" s="38" t="s">
        <v>3065</v>
      </c>
      <c r="D157" s="45">
        <v>0</v>
      </c>
      <c r="E157" s="45">
        <v>0</v>
      </c>
      <c r="F157" s="45">
        <f>'NonPublic Enrollment'!$E157*0.1</f>
        <v>0</v>
      </c>
      <c r="G157" s="45">
        <v>0</v>
      </c>
      <c r="H157" s="45">
        <f>'NonPublic Enrollment'!$G157*0.7374</f>
        <v>0</v>
      </c>
      <c r="I157" s="45">
        <v>0</v>
      </c>
      <c r="J157" s="45">
        <f>'NonPublic Enrollment'!$I157*0.2906</f>
        <v>0</v>
      </c>
      <c r="K157" s="45">
        <f>'NonPublic Enrollment'!$D157+'NonPublic Enrollment'!$F157+'NonPublic Enrollment'!$H157+'NonPublic Enrollment'!$J157</f>
        <v>0</v>
      </c>
      <c r="L157" s="39" t="s">
        <v>2949</v>
      </c>
    </row>
    <row r="158" spans="1:12">
      <c r="A158" s="36" t="s">
        <v>2561</v>
      </c>
      <c r="B158" s="36" t="str">
        <f>"121053"</f>
        <v>121053</v>
      </c>
      <c r="C158" s="36" t="s">
        <v>3064</v>
      </c>
      <c r="D158" s="44">
        <v>18</v>
      </c>
      <c r="E158" s="44">
        <v>0</v>
      </c>
      <c r="F158" s="44">
        <f>'NonPublic Enrollment'!$E158*0.1</f>
        <v>0</v>
      </c>
      <c r="G158" s="44">
        <v>0</v>
      </c>
      <c r="H158" s="44">
        <f>'NonPublic Enrollment'!$G158*0.7374</f>
        <v>0</v>
      </c>
      <c r="I158" s="44">
        <v>0</v>
      </c>
      <c r="J158" s="44">
        <f>'NonPublic Enrollment'!$I158*0.2906</f>
        <v>0</v>
      </c>
      <c r="K158" s="44">
        <f>'NonPublic Enrollment'!$D158+'NonPublic Enrollment'!$F158+'NonPublic Enrollment'!$H158+'NonPublic Enrollment'!$J158</f>
        <v>18</v>
      </c>
      <c r="L158" s="37" t="s">
        <v>2562</v>
      </c>
    </row>
    <row r="159" spans="1:12">
      <c r="A159" s="38" t="s">
        <v>2561</v>
      </c>
      <c r="B159" s="38" t="str">
        <f>"121277"</f>
        <v>121277</v>
      </c>
      <c r="C159" s="38" t="s">
        <v>3063</v>
      </c>
      <c r="D159" s="45">
        <v>24</v>
      </c>
      <c r="E159" s="45">
        <v>0</v>
      </c>
      <c r="F159" s="45">
        <f>'NonPublic Enrollment'!$E159*0.1</f>
        <v>0</v>
      </c>
      <c r="G159" s="45">
        <v>0</v>
      </c>
      <c r="H159" s="45">
        <f>'NonPublic Enrollment'!$G159*0.7374</f>
        <v>0</v>
      </c>
      <c r="I159" s="45">
        <v>0</v>
      </c>
      <c r="J159" s="45">
        <f>'NonPublic Enrollment'!$I159*0.2906</f>
        <v>0</v>
      </c>
      <c r="K159" s="45">
        <f>'NonPublic Enrollment'!$D159+'NonPublic Enrollment'!$F159+'NonPublic Enrollment'!$H159+'NonPublic Enrollment'!$J159</f>
        <v>24</v>
      </c>
      <c r="L159" s="39" t="s">
        <v>2569</v>
      </c>
    </row>
    <row r="160" spans="1:12">
      <c r="A160" s="36" t="s">
        <v>2561</v>
      </c>
      <c r="B160" s="36" t="str">
        <f>"122481"</f>
        <v>122481</v>
      </c>
      <c r="C160" s="36" t="s">
        <v>3062</v>
      </c>
      <c r="D160" s="44">
        <v>16</v>
      </c>
      <c r="E160" s="44">
        <v>0</v>
      </c>
      <c r="F160" s="44">
        <f>'NonPublic Enrollment'!$E160*0.1</f>
        <v>0</v>
      </c>
      <c r="G160" s="44">
        <v>0</v>
      </c>
      <c r="H160" s="44">
        <f>'NonPublic Enrollment'!$G160*0.7374</f>
        <v>0</v>
      </c>
      <c r="I160" s="44">
        <v>0</v>
      </c>
      <c r="J160" s="44">
        <f>'NonPublic Enrollment'!$I160*0.2906</f>
        <v>0</v>
      </c>
      <c r="K160" s="44">
        <f>'NonPublic Enrollment'!$D160+'NonPublic Enrollment'!$F160+'NonPublic Enrollment'!$H160+'NonPublic Enrollment'!$J160</f>
        <v>16</v>
      </c>
      <c r="L160" s="37" t="s">
        <v>2562</v>
      </c>
    </row>
    <row r="161" spans="1:12">
      <c r="A161" s="38" t="s">
        <v>2561</v>
      </c>
      <c r="B161" s="38" t="str">
        <f>"122879"</f>
        <v>122879</v>
      </c>
      <c r="C161" s="38" t="s">
        <v>3061</v>
      </c>
      <c r="D161" s="45">
        <v>22</v>
      </c>
      <c r="E161" s="45">
        <v>0</v>
      </c>
      <c r="F161" s="45">
        <f>'NonPublic Enrollment'!$E161*0.1</f>
        <v>0</v>
      </c>
      <c r="G161" s="45">
        <v>0</v>
      </c>
      <c r="H161" s="45">
        <f>'NonPublic Enrollment'!$G161*0.7374</f>
        <v>0</v>
      </c>
      <c r="I161" s="45">
        <v>0</v>
      </c>
      <c r="J161" s="45">
        <f>'NonPublic Enrollment'!$I161*0.2906</f>
        <v>0</v>
      </c>
      <c r="K161" s="45">
        <f>'NonPublic Enrollment'!$D161+'NonPublic Enrollment'!$F161+'NonPublic Enrollment'!$H161+'NonPublic Enrollment'!$J161</f>
        <v>22</v>
      </c>
      <c r="L161" s="39" t="s">
        <v>2569</v>
      </c>
    </row>
    <row r="162" spans="1:12">
      <c r="A162" s="36" t="s">
        <v>2561</v>
      </c>
      <c r="B162" s="36" t="str">
        <f>"123109"</f>
        <v>123109</v>
      </c>
      <c r="C162" s="36" t="s">
        <v>3060</v>
      </c>
      <c r="D162" s="44">
        <v>122</v>
      </c>
      <c r="E162" s="44">
        <v>0</v>
      </c>
      <c r="F162" s="44">
        <f>'NonPublic Enrollment'!$E162*0.1</f>
        <v>0</v>
      </c>
      <c r="G162" s="44">
        <v>0</v>
      </c>
      <c r="H162" s="44">
        <f>'NonPublic Enrollment'!$G162*0.7374</f>
        <v>0</v>
      </c>
      <c r="I162" s="44">
        <v>0</v>
      </c>
      <c r="J162" s="44">
        <f>'NonPublic Enrollment'!$I162*0.2906</f>
        <v>0</v>
      </c>
      <c r="K162" s="44">
        <f>'NonPublic Enrollment'!$D162+'NonPublic Enrollment'!$F162+'NonPublic Enrollment'!$H162+'NonPublic Enrollment'!$J162</f>
        <v>122</v>
      </c>
      <c r="L162" s="37" t="s">
        <v>2562</v>
      </c>
    </row>
    <row r="163" spans="1:12">
      <c r="A163" s="38" t="s">
        <v>2561</v>
      </c>
      <c r="B163" s="38" t="str">
        <f>"123356"</f>
        <v>123356</v>
      </c>
      <c r="C163" s="38" t="s">
        <v>3059</v>
      </c>
      <c r="D163" s="45">
        <v>104</v>
      </c>
      <c r="E163" s="45">
        <v>0</v>
      </c>
      <c r="F163" s="45">
        <f>'NonPublic Enrollment'!$E163*0.1</f>
        <v>0</v>
      </c>
      <c r="G163" s="45">
        <v>0</v>
      </c>
      <c r="H163" s="45">
        <f>'NonPublic Enrollment'!$G163*0.7374</f>
        <v>0</v>
      </c>
      <c r="I163" s="45">
        <v>0</v>
      </c>
      <c r="J163" s="45">
        <f>'NonPublic Enrollment'!$I163*0.2906</f>
        <v>0</v>
      </c>
      <c r="K163" s="45">
        <f>'NonPublic Enrollment'!$D163+'NonPublic Enrollment'!$F163+'NonPublic Enrollment'!$H163+'NonPublic Enrollment'!$J163</f>
        <v>104</v>
      </c>
      <c r="L163" s="39" t="s">
        <v>2562</v>
      </c>
    </row>
    <row r="164" spans="1:12">
      <c r="A164" s="36" t="s">
        <v>2561</v>
      </c>
      <c r="B164" s="36" t="str">
        <f>"125013"</f>
        <v>125013</v>
      </c>
      <c r="C164" s="36" t="s">
        <v>3058</v>
      </c>
      <c r="D164" s="44">
        <v>18</v>
      </c>
      <c r="E164" s="44">
        <v>0</v>
      </c>
      <c r="F164" s="44">
        <f>'NonPublic Enrollment'!$E164*0.1</f>
        <v>0</v>
      </c>
      <c r="G164" s="44">
        <v>0</v>
      </c>
      <c r="H164" s="44">
        <f>'NonPublic Enrollment'!$G164*0.7374</f>
        <v>0</v>
      </c>
      <c r="I164" s="44">
        <v>0</v>
      </c>
      <c r="J164" s="44">
        <f>'NonPublic Enrollment'!$I164*0.2906</f>
        <v>0</v>
      </c>
      <c r="K164" s="44">
        <f>'NonPublic Enrollment'!$D164+'NonPublic Enrollment'!$F164+'NonPublic Enrollment'!$H164+'NonPublic Enrollment'!$J164</f>
        <v>18</v>
      </c>
      <c r="L164" s="37" t="s">
        <v>2562</v>
      </c>
    </row>
    <row r="165" spans="1:12">
      <c r="A165" s="38" t="s">
        <v>2561</v>
      </c>
      <c r="B165" s="38" t="str">
        <f>"125278"</f>
        <v>125278</v>
      </c>
      <c r="C165" s="38" t="s">
        <v>3057</v>
      </c>
      <c r="D165" s="45">
        <v>313</v>
      </c>
      <c r="E165" s="45">
        <v>0</v>
      </c>
      <c r="F165" s="45">
        <f>'NonPublic Enrollment'!$E165*0.1</f>
        <v>0</v>
      </c>
      <c r="G165" s="45">
        <v>0</v>
      </c>
      <c r="H165" s="45">
        <f>'NonPublic Enrollment'!$G165*0.7374</f>
        <v>0</v>
      </c>
      <c r="I165" s="45">
        <v>0</v>
      </c>
      <c r="J165" s="45">
        <f>'NonPublic Enrollment'!$I165*0.2906</f>
        <v>0</v>
      </c>
      <c r="K165" s="45">
        <f>'NonPublic Enrollment'!$D165+'NonPublic Enrollment'!$F165+'NonPublic Enrollment'!$H165+'NonPublic Enrollment'!$J165</f>
        <v>313</v>
      </c>
      <c r="L165" s="39" t="s">
        <v>2562</v>
      </c>
    </row>
    <row r="166" spans="1:12">
      <c r="A166" s="36" t="s">
        <v>2561</v>
      </c>
      <c r="B166" s="36" t="str">
        <f>"126151"</f>
        <v>126151</v>
      </c>
      <c r="C166" s="36" t="s">
        <v>3056</v>
      </c>
      <c r="D166" s="44">
        <v>12</v>
      </c>
      <c r="E166" s="44">
        <v>0</v>
      </c>
      <c r="F166" s="44">
        <f>'NonPublic Enrollment'!$E166*0.1</f>
        <v>0</v>
      </c>
      <c r="G166" s="44">
        <v>0</v>
      </c>
      <c r="H166" s="44">
        <f>'NonPublic Enrollment'!$G166*0.7374</f>
        <v>0</v>
      </c>
      <c r="I166" s="44">
        <v>0</v>
      </c>
      <c r="J166" s="44">
        <f>'NonPublic Enrollment'!$I166*0.2906</f>
        <v>0</v>
      </c>
      <c r="K166" s="44">
        <f>'NonPublic Enrollment'!$D166+'NonPublic Enrollment'!$F166+'NonPublic Enrollment'!$H166+'NonPublic Enrollment'!$J166</f>
        <v>12</v>
      </c>
      <c r="L166" s="37" t="s">
        <v>2559</v>
      </c>
    </row>
    <row r="167" spans="1:12">
      <c r="A167" s="38" t="s">
        <v>2561</v>
      </c>
      <c r="B167" s="38" t="str">
        <f>"126615"</f>
        <v>126615</v>
      </c>
      <c r="C167" s="38" t="s">
        <v>3055</v>
      </c>
      <c r="D167" s="45">
        <v>834</v>
      </c>
      <c r="E167" s="45">
        <v>0</v>
      </c>
      <c r="F167" s="45">
        <f>'NonPublic Enrollment'!$E167*0.1</f>
        <v>0</v>
      </c>
      <c r="G167" s="45">
        <v>0</v>
      </c>
      <c r="H167" s="45">
        <f>'NonPublic Enrollment'!$G167*0.7374</f>
        <v>0</v>
      </c>
      <c r="I167" s="45">
        <v>0</v>
      </c>
      <c r="J167" s="45">
        <f>'NonPublic Enrollment'!$I167*0.2906</f>
        <v>0</v>
      </c>
      <c r="K167" s="45">
        <f>'NonPublic Enrollment'!$D167+'NonPublic Enrollment'!$F167+'NonPublic Enrollment'!$H167+'NonPublic Enrollment'!$J167</f>
        <v>834</v>
      </c>
      <c r="L167" s="39" t="s">
        <v>2562</v>
      </c>
    </row>
    <row r="168" spans="1:12">
      <c r="A168" s="36" t="s">
        <v>2561</v>
      </c>
      <c r="B168" s="36" t="str">
        <f>"132340"</f>
        <v>132340</v>
      </c>
      <c r="C168" s="36" t="s">
        <v>3054</v>
      </c>
      <c r="D168" s="44">
        <v>15</v>
      </c>
      <c r="E168" s="44">
        <v>0</v>
      </c>
      <c r="F168" s="44">
        <f>'NonPublic Enrollment'!$E168*0.1</f>
        <v>0</v>
      </c>
      <c r="G168" s="44">
        <v>0</v>
      </c>
      <c r="H168" s="44">
        <f>'NonPublic Enrollment'!$G168*0.7374</f>
        <v>0</v>
      </c>
      <c r="I168" s="44">
        <v>0</v>
      </c>
      <c r="J168" s="44">
        <f>'NonPublic Enrollment'!$I168*0.2906</f>
        <v>0</v>
      </c>
      <c r="K168" s="44">
        <f>'NonPublic Enrollment'!$D168+'NonPublic Enrollment'!$F168+'NonPublic Enrollment'!$H168+'NonPublic Enrollment'!$J168</f>
        <v>15</v>
      </c>
      <c r="L168" s="37" t="s">
        <v>2559</v>
      </c>
    </row>
    <row r="169" spans="1:12">
      <c r="A169" s="38" t="s">
        <v>2561</v>
      </c>
      <c r="B169" s="38" t="str">
        <f>"132365"</f>
        <v>132365</v>
      </c>
      <c r="C169" s="38" t="s">
        <v>3053</v>
      </c>
      <c r="D169" s="45">
        <v>0</v>
      </c>
      <c r="E169" s="45">
        <v>0</v>
      </c>
      <c r="F169" s="45">
        <f>'NonPublic Enrollment'!$E169*0.1</f>
        <v>0</v>
      </c>
      <c r="G169" s="45">
        <v>0</v>
      </c>
      <c r="H169" s="45">
        <f>'NonPublic Enrollment'!$G169*0.7374</f>
        <v>0</v>
      </c>
      <c r="I169" s="45">
        <v>0</v>
      </c>
      <c r="J169" s="45">
        <f>'NonPublic Enrollment'!$I169*0.2906</f>
        <v>0</v>
      </c>
      <c r="K169" s="45">
        <f>'NonPublic Enrollment'!$D169+'NonPublic Enrollment'!$F169+'NonPublic Enrollment'!$H169+'NonPublic Enrollment'!$J169</f>
        <v>0</v>
      </c>
      <c r="L169" s="39" t="s">
        <v>3052</v>
      </c>
    </row>
    <row r="170" spans="1:12">
      <c r="A170" s="36" t="s">
        <v>2561</v>
      </c>
      <c r="B170" s="36" t="str">
        <f>"132373"</f>
        <v>132373</v>
      </c>
      <c r="C170" s="36" t="s">
        <v>3051</v>
      </c>
      <c r="D170" s="44">
        <v>118</v>
      </c>
      <c r="E170" s="44">
        <v>0</v>
      </c>
      <c r="F170" s="44">
        <f>'NonPublic Enrollment'!$E170*0.1</f>
        <v>0</v>
      </c>
      <c r="G170" s="44">
        <v>0</v>
      </c>
      <c r="H170" s="44">
        <f>'NonPublic Enrollment'!$G170*0.7374</f>
        <v>0</v>
      </c>
      <c r="I170" s="44">
        <v>0</v>
      </c>
      <c r="J170" s="44">
        <f>'NonPublic Enrollment'!$I170*0.2906</f>
        <v>0</v>
      </c>
      <c r="K170" s="44">
        <f>'NonPublic Enrollment'!$D170+'NonPublic Enrollment'!$F170+'NonPublic Enrollment'!$H170+'NonPublic Enrollment'!$J170</f>
        <v>118</v>
      </c>
      <c r="L170" s="37" t="s">
        <v>2562</v>
      </c>
    </row>
    <row r="171" spans="1:12">
      <c r="A171" s="38" t="s">
        <v>2561</v>
      </c>
      <c r="B171" s="38" t="str">
        <f>"132456"</f>
        <v>132456</v>
      </c>
      <c r="C171" s="38" t="s">
        <v>3050</v>
      </c>
      <c r="D171" s="45">
        <v>4</v>
      </c>
      <c r="E171" s="45">
        <v>0</v>
      </c>
      <c r="F171" s="45">
        <f>'NonPublic Enrollment'!$E171*0.1</f>
        <v>0</v>
      </c>
      <c r="G171" s="45">
        <v>0</v>
      </c>
      <c r="H171" s="45">
        <f>'NonPublic Enrollment'!$G171*0.7374</f>
        <v>0</v>
      </c>
      <c r="I171" s="45">
        <v>0</v>
      </c>
      <c r="J171" s="45">
        <f>'NonPublic Enrollment'!$I171*0.2906</f>
        <v>0</v>
      </c>
      <c r="K171" s="45">
        <f>'NonPublic Enrollment'!$D171+'NonPublic Enrollment'!$F171+'NonPublic Enrollment'!$H171+'NonPublic Enrollment'!$J171</f>
        <v>4</v>
      </c>
      <c r="L171" s="39" t="s">
        <v>2562</v>
      </c>
    </row>
    <row r="172" spans="1:12">
      <c r="A172" s="36" t="s">
        <v>2561</v>
      </c>
      <c r="B172" s="36" t="str">
        <f>"132571"</f>
        <v>132571</v>
      </c>
      <c r="C172" s="36" t="s">
        <v>3049</v>
      </c>
      <c r="D172" s="44">
        <v>2</v>
      </c>
      <c r="E172" s="44">
        <v>0</v>
      </c>
      <c r="F172" s="44">
        <f>'NonPublic Enrollment'!$E172*0.1</f>
        <v>0</v>
      </c>
      <c r="G172" s="44">
        <v>0</v>
      </c>
      <c r="H172" s="44">
        <f>'NonPublic Enrollment'!$G172*0.7374</f>
        <v>0</v>
      </c>
      <c r="I172" s="44">
        <v>0</v>
      </c>
      <c r="J172" s="44">
        <f>'NonPublic Enrollment'!$I172*0.2906</f>
        <v>0</v>
      </c>
      <c r="K172" s="44">
        <f>'NonPublic Enrollment'!$D172+'NonPublic Enrollment'!$F172+'NonPublic Enrollment'!$H172+'NonPublic Enrollment'!$J172</f>
        <v>2</v>
      </c>
      <c r="L172" s="37" t="s">
        <v>2569</v>
      </c>
    </row>
    <row r="173" spans="1:12">
      <c r="A173" s="38" t="s">
        <v>2561</v>
      </c>
      <c r="B173" s="38" t="str">
        <f>"132597"</f>
        <v>132597</v>
      </c>
      <c r="C173" s="38" t="s">
        <v>3048</v>
      </c>
      <c r="D173" s="45">
        <v>13</v>
      </c>
      <c r="E173" s="45">
        <v>0</v>
      </c>
      <c r="F173" s="45">
        <f>'NonPublic Enrollment'!$E173*0.1</f>
        <v>0</v>
      </c>
      <c r="G173" s="45">
        <v>0</v>
      </c>
      <c r="H173" s="45">
        <f>'NonPublic Enrollment'!$G173*0.7374</f>
        <v>0</v>
      </c>
      <c r="I173" s="45">
        <v>0</v>
      </c>
      <c r="J173" s="45">
        <f>'NonPublic Enrollment'!$I173*0.2906</f>
        <v>0</v>
      </c>
      <c r="K173" s="45">
        <f>'NonPublic Enrollment'!$D173+'NonPublic Enrollment'!$F173+'NonPublic Enrollment'!$H173+'NonPublic Enrollment'!$J173</f>
        <v>13</v>
      </c>
      <c r="L173" s="39" t="s">
        <v>2562</v>
      </c>
    </row>
    <row r="174" spans="1:12">
      <c r="A174" s="36" t="s">
        <v>2561</v>
      </c>
      <c r="B174" s="36" t="str">
        <f>"132688"</f>
        <v>132688</v>
      </c>
      <c r="C174" s="36" t="s">
        <v>3047</v>
      </c>
      <c r="D174" s="44">
        <v>12</v>
      </c>
      <c r="E174" s="44">
        <v>0</v>
      </c>
      <c r="F174" s="44">
        <f>'NonPublic Enrollment'!$E174*0.1</f>
        <v>0</v>
      </c>
      <c r="G174" s="44">
        <v>0</v>
      </c>
      <c r="H174" s="44">
        <f>'NonPublic Enrollment'!$G174*0.7374</f>
        <v>0</v>
      </c>
      <c r="I174" s="44">
        <v>0</v>
      </c>
      <c r="J174" s="44">
        <f>'NonPublic Enrollment'!$I174*0.2906</f>
        <v>0</v>
      </c>
      <c r="K174" s="44">
        <f>'NonPublic Enrollment'!$D174+'NonPublic Enrollment'!$F174+'NonPublic Enrollment'!$H174+'NonPublic Enrollment'!$J174</f>
        <v>12</v>
      </c>
      <c r="L174" s="37" t="s">
        <v>2562</v>
      </c>
    </row>
    <row r="175" spans="1:12">
      <c r="A175" s="38" t="s">
        <v>2561</v>
      </c>
      <c r="B175" s="38" t="str">
        <f>"132704"</f>
        <v>132704</v>
      </c>
      <c r="C175" s="38" t="s">
        <v>3046</v>
      </c>
      <c r="D175" s="45">
        <v>71</v>
      </c>
      <c r="E175" s="45">
        <v>0</v>
      </c>
      <c r="F175" s="45">
        <f>'NonPublic Enrollment'!$E175*0.1</f>
        <v>0</v>
      </c>
      <c r="G175" s="45">
        <v>0</v>
      </c>
      <c r="H175" s="45">
        <f>'NonPublic Enrollment'!$G175*0.7374</f>
        <v>0</v>
      </c>
      <c r="I175" s="45">
        <v>0</v>
      </c>
      <c r="J175" s="45">
        <f>'NonPublic Enrollment'!$I175*0.2906</f>
        <v>0</v>
      </c>
      <c r="K175" s="45">
        <f>'NonPublic Enrollment'!$D175+'NonPublic Enrollment'!$F175+'NonPublic Enrollment'!$H175+'NonPublic Enrollment'!$J175</f>
        <v>71</v>
      </c>
      <c r="L175" s="39" t="s">
        <v>2562</v>
      </c>
    </row>
    <row r="176" spans="1:12">
      <c r="A176" s="36" t="s">
        <v>2561</v>
      </c>
      <c r="B176" s="36" t="str">
        <f>"132837"</f>
        <v>132837</v>
      </c>
      <c r="C176" s="36" t="s">
        <v>3045</v>
      </c>
      <c r="D176" s="44">
        <v>12</v>
      </c>
      <c r="E176" s="44">
        <v>0</v>
      </c>
      <c r="F176" s="44">
        <f>'NonPublic Enrollment'!$E176*0.1</f>
        <v>0</v>
      </c>
      <c r="G176" s="44">
        <v>0</v>
      </c>
      <c r="H176" s="44">
        <f>'NonPublic Enrollment'!$G176*0.7374</f>
        <v>0</v>
      </c>
      <c r="I176" s="44">
        <v>0</v>
      </c>
      <c r="J176" s="44">
        <f>'NonPublic Enrollment'!$I176*0.2906</f>
        <v>0</v>
      </c>
      <c r="K176" s="44">
        <f>'NonPublic Enrollment'!$D176+'NonPublic Enrollment'!$F176+'NonPublic Enrollment'!$H176+'NonPublic Enrollment'!$J176</f>
        <v>12</v>
      </c>
      <c r="L176" s="37" t="s">
        <v>2562</v>
      </c>
    </row>
    <row r="177" spans="1:12">
      <c r="A177" s="38" t="s">
        <v>2561</v>
      </c>
      <c r="B177" s="38" t="str">
        <f>"132910"</f>
        <v>132910</v>
      </c>
      <c r="C177" s="38" t="s">
        <v>3044</v>
      </c>
      <c r="D177" s="45">
        <v>27</v>
      </c>
      <c r="E177" s="45">
        <v>0</v>
      </c>
      <c r="F177" s="45">
        <f>'NonPublic Enrollment'!$E177*0.1</f>
        <v>0</v>
      </c>
      <c r="G177" s="45">
        <v>0</v>
      </c>
      <c r="H177" s="45">
        <f>'NonPublic Enrollment'!$G177*0.7374</f>
        <v>0</v>
      </c>
      <c r="I177" s="45">
        <v>0</v>
      </c>
      <c r="J177" s="45">
        <f>'NonPublic Enrollment'!$I177*0.2906</f>
        <v>0</v>
      </c>
      <c r="K177" s="45">
        <f>'NonPublic Enrollment'!$D177+'NonPublic Enrollment'!$F177+'NonPublic Enrollment'!$H177+'NonPublic Enrollment'!$J177</f>
        <v>27</v>
      </c>
      <c r="L177" s="39" t="s">
        <v>2562</v>
      </c>
    </row>
    <row r="178" spans="1:12">
      <c r="A178" s="36" t="s">
        <v>2561</v>
      </c>
      <c r="B178" s="36" t="str">
        <f>"133025"</f>
        <v>133025</v>
      </c>
      <c r="C178" s="36" t="s">
        <v>3043</v>
      </c>
      <c r="D178" s="44">
        <v>13</v>
      </c>
      <c r="E178" s="44">
        <v>0</v>
      </c>
      <c r="F178" s="44">
        <f>'NonPublic Enrollment'!$E178*0.1</f>
        <v>0</v>
      </c>
      <c r="G178" s="44">
        <v>0</v>
      </c>
      <c r="H178" s="44">
        <f>'NonPublic Enrollment'!$G178*0.7374</f>
        <v>0</v>
      </c>
      <c r="I178" s="44">
        <v>0</v>
      </c>
      <c r="J178" s="44">
        <f>'NonPublic Enrollment'!$I178*0.2906</f>
        <v>0</v>
      </c>
      <c r="K178" s="44">
        <f>'NonPublic Enrollment'!$D178+'NonPublic Enrollment'!$F178+'NonPublic Enrollment'!$H178+'NonPublic Enrollment'!$J178</f>
        <v>13</v>
      </c>
      <c r="L178" s="37" t="s">
        <v>2562</v>
      </c>
    </row>
    <row r="179" spans="1:12">
      <c r="A179" s="38" t="s">
        <v>2561</v>
      </c>
      <c r="B179" s="38" t="str">
        <f>"133033"</f>
        <v>133033</v>
      </c>
      <c r="C179" s="38" t="s">
        <v>3042</v>
      </c>
      <c r="D179" s="45">
        <v>74</v>
      </c>
      <c r="E179" s="45">
        <v>0</v>
      </c>
      <c r="F179" s="45">
        <f>'NonPublic Enrollment'!$E179*0.1</f>
        <v>0</v>
      </c>
      <c r="G179" s="45">
        <v>0</v>
      </c>
      <c r="H179" s="45">
        <f>'NonPublic Enrollment'!$G179*0.7374</f>
        <v>0</v>
      </c>
      <c r="I179" s="45">
        <v>0</v>
      </c>
      <c r="J179" s="45">
        <f>'NonPublic Enrollment'!$I179*0.2906</f>
        <v>0</v>
      </c>
      <c r="K179" s="45">
        <f>'NonPublic Enrollment'!$D179+'NonPublic Enrollment'!$F179+'NonPublic Enrollment'!$H179+'NonPublic Enrollment'!$J179</f>
        <v>74</v>
      </c>
      <c r="L179" s="39" t="s">
        <v>2562</v>
      </c>
    </row>
    <row r="180" spans="1:12">
      <c r="A180" s="36" t="s">
        <v>2561</v>
      </c>
      <c r="B180" s="36" t="str">
        <f>"133041"</f>
        <v>133041</v>
      </c>
      <c r="C180" s="36" t="s">
        <v>3041</v>
      </c>
      <c r="D180" s="44">
        <v>6</v>
      </c>
      <c r="E180" s="44">
        <v>0</v>
      </c>
      <c r="F180" s="44">
        <f>'NonPublic Enrollment'!$E180*0.1</f>
        <v>0</v>
      </c>
      <c r="G180" s="44">
        <v>0</v>
      </c>
      <c r="H180" s="44">
        <f>'NonPublic Enrollment'!$G180*0.7374</f>
        <v>0</v>
      </c>
      <c r="I180" s="44">
        <v>0</v>
      </c>
      <c r="J180" s="44">
        <f>'NonPublic Enrollment'!$I180*0.2906</f>
        <v>0</v>
      </c>
      <c r="K180" s="44">
        <f>'NonPublic Enrollment'!$D180+'NonPublic Enrollment'!$F180+'NonPublic Enrollment'!$H180+'NonPublic Enrollment'!$J180</f>
        <v>6</v>
      </c>
      <c r="L180" s="37" t="s">
        <v>2562</v>
      </c>
    </row>
    <row r="181" spans="1:12">
      <c r="A181" s="38" t="s">
        <v>2561</v>
      </c>
      <c r="B181" s="38" t="str">
        <f>"133140"</f>
        <v>133140</v>
      </c>
      <c r="C181" s="38" t="s">
        <v>3040</v>
      </c>
      <c r="D181" s="45">
        <v>449</v>
      </c>
      <c r="E181" s="45">
        <v>0</v>
      </c>
      <c r="F181" s="45">
        <f>'NonPublic Enrollment'!$E181*0.1</f>
        <v>0</v>
      </c>
      <c r="G181" s="45">
        <v>0</v>
      </c>
      <c r="H181" s="45">
        <f>'NonPublic Enrollment'!$G181*0.7374</f>
        <v>0</v>
      </c>
      <c r="I181" s="45">
        <v>0</v>
      </c>
      <c r="J181" s="45">
        <f>'NonPublic Enrollment'!$I181*0.2906</f>
        <v>0</v>
      </c>
      <c r="K181" s="45">
        <f>'NonPublic Enrollment'!$D181+'NonPublic Enrollment'!$F181+'NonPublic Enrollment'!$H181+'NonPublic Enrollment'!$J181</f>
        <v>449</v>
      </c>
      <c r="L181" s="39" t="s">
        <v>2562</v>
      </c>
    </row>
    <row r="182" spans="1:12">
      <c r="A182" s="36" t="s">
        <v>2561</v>
      </c>
      <c r="B182" s="36" t="str">
        <f>"133165"</f>
        <v>133165</v>
      </c>
      <c r="C182" s="36" t="s">
        <v>3039</v>
      </c>
      <c r="D182" s="44">
        <v>18</v>
      </c>
      <c r="E182" s="44">
        <v>0</v>
      </c>
      <c r="F182" s="44">
        <f>'NonPublic Enrollment'!$E182*0.1</f>
        <v>0</v>
      </c>
      <c r="G182" s="44">
        <v>0</v>
      </c>
      <c r="H182" s="44">
        <f>'NonPublic Enrollment'!$G182*0.7374</f>
        <v>0</v>
      </c>
      <c r="I182" s="44">
        <v>0</v>
      </c>
      <c r="J182" s="44">
        <f>'NonPublic Enrollment'!$I182*0.2906</f>
        <v>0</v>
      </c>
      <c r="K182" s="44">
        <f>'NonPublic Enrollment'!$D182+'NonPublic Enrollment'!$F182+'NonPublic Enrollment'!$H182+'NonPublic Enrollment'!$J182</f>
        <v>18</v>
      </c>
      <c r="L182" s="37" t="s">
        <v>2572</v>
      </c>
    </row>
    <row r="183" spans="1:12">
      <c r="A183" s="38" t="s">
        <v>2561</v>
      </c>
      <c r="B183" s="38" t="str">
        <f>"134528"</f>
        <v>134528</v>
      </c>
      <c r="C183" s="38" t="s">
        <v>3038</v>
      </c>
      <c r="D183" s="45">
        <v>187</v>
      </c>
      <c r="E183" s="45">
        <v>0</v>
      </c>
      <c r="F183" s="45">
        <f>'NonPublic Enrollment'!$E183*0.1</f>
        <v>0</v>
      </c>
      <c r="G183" s="45">
        <v>0</v>
      </c>
      <c r="H183" s="45">
        <f>'NonPublic Enrollment'!$G183*0.7374</f>
        <v>0</v>
      </c>
      <c r="I183" s="45">
        <v>0</v>
      </c>
      <c r="J183" s="45">
        <f>'NonPublic Enrollment'!$I183*0.2906</f>
        <v>0</v>
      </c>
      <c r="K183" s="45">
        <f>'NonPublic Enrollment'!$D183+'NonPublic Enrollment'!$F183+'NonPublic Enrollment'!$H183+'NonPublic Enrollment'!$J183</f>
        <v>187</v>
      </c>
      <c r="L183" s="39" t="s">
        <v>2580</v>
      </c>
    </row>
    <row r="184" spans="1:12">
      <c r="A184" s="36" t="s">
        <v>2561</v>
      </c>
      <c r="B184" s="36" t="str">
        <f>"134544"</f>
        <v>134544</v>
      </c>
      <c r="C184" s="36" t="s">
        <v>3037</v>
      </c>
      <c r="D184" s="44">
        <v>11</v>
      </c>
      <c r="E184" s="44">
        <v>0</v>
      </c>
      <c r="F184" s="44">
        <f>'NonPublic Enrollment'!$E184*0.1</f>
        <v>0</v>
      </c>
      <c r="G184" s="44">
        <v>0</v>
      </c>
      <c r="H184" s="44">
        <f>'NonPublic Enrollment'!$G184*0.7374</f>
        <v>0</v>
      </c>
      <c r="I184" s="44">
        <v>0</v>
      </c>
      <c r="J184" s="44">
        <f>'NonPublic Enrollment'!$I184*0.2906</f>
        <v>0</v>
      </c>
      <c r="K184" s="44">
        <f>'NonPublic Enrollment'!$D184+'NonPublic Enrollment'!$F184+'NonPublic Enrollment'!$H184+'NonPublic Enrollment'!$J184</f>
        <v>11</v>
      </c>
      <c r="L184" s="37" t="s">
        <v>2569</v>
      </c>
    </row>
    <row r="185" spans="1:12">
      <c r="A185" s="38" t="s">
        <v>2561</v>
      </c>
      <c r="B185" s="38" t="str">
        <f>"134817"</f>
        <v>134817</v>
      </c>
      <c r="C185" s="38" t="s">
        <v>3036</v>
      </c>
      <c r="D185" s="45">
        <v>39</v>
      </c>
      <c r="E185" s="45">
        <v>0</v>
      </c>
      <c r="F185" s="45">
        <f>'NonPublic Enrollment'!$E185*0.1</f>
        <v>0</v>
      </c>
      <c r="G185" s="45">
        <v>0</v>
      </c>
      <c r="H185" s="45">
        <f>'NonPublic Enrollment'!$G185*0.7374</f>
        <v>0</v>
      </c>
      <c r="I185" s="45">
        <v>0</v>
      </c>
      <c r="J185" s="45">
        <f>'NonPublic Enrollment'!$I185*0.2906</f>
        <v>0</v>
      </c>
      <c r="K185" s="45">
        <f>'NonPublic Enrollment'!$D185+'NonPublic Enrollment'!$F185+'NonPublic Enrollment'!$H185+'NonPublic Enrollment'!$J185</f>
        <v>39</v>
      </c>
      <c r="L185" s="39" t="s">
        <v>2562</v>
      </c>
    </row>
    <row r="186" spans="1:12">
      <c r="A186" s="36" t="s">
        <v>2561</v>
      </c>
      <c r="B186" s="36" t="str">
        <f>"143099"</f>
        <v>143099</v>
      </c>
      <c r="C186" s="36" t="s">
        <v>3035</v>
      </c>
      <c r="D186" s="44">
        <v>257</v>
      </c>
      <c r="E186" s="44">
        <v>0</v>
      </c>
      <c r="F186" s="44">
        <f>'NonPublic Enrollment'!$E186*0.1</f>
        <v>0</v>
      </c>
      <c r="G186" s="44">
        <v>0</v>
      </c>
      <c r="H186" s="44">
        <f>'NonPublic Enrollment'!$G186*0.7374</f>
        <v>0</v>
      </c>
      <c r="I186" s="44">
        <v>0</v>
      </c>
      <c r="J186" s="44">
        <f>'NonPublic Enrollment'!$I186*0.2906</f>
        <v>0</v>
      </c>
      <c r="K186" s="44">
        <f>'NonPublic Enrollment'!$D186+'NonPublic Enrollment'!$F186+'NonPublic Enrollment'!$H186+'NonPublic Enrollment'!$J186</f>
        <v>257</v>
      </c>
      <c r="L186" s="37" t="s">
        <v>2562</v>
      </c>
    </row>
    <row r="187" spans="1:12">
      <c r="A187" s="38" t="s">
        <v>2561</v>
      </c>
      <c r="B187" s="38" t="str">
        <f>"143248"</f>
        <v>143248</v>
      </c>
      <c r="C187" s="38" t="s">
        <v>3034</v>
      </c>
      <c r="D187" s="45">
        <v>132</v>
      </c>
      <c r="E187" s="45">
        <v>0</v>
      </c>
      <c r="F187" s="45">
        <f>'NonPublic Enrollment'!$E187*0.1</f>
        <v>0</v>
      </c>
      <c r="G187" s="45">
        <v>0</v>
      </c>
      <c r="H187" s="45">
        <f>'NonPublic Enrollment'!$G187*0.7374</f>
        <v>0</v>
      </c>
      <c r="I187" s="45">
        <v>0</v>
      </c>
      <c r="J187" s="45">
        <f>'NonPublic Enrollment'!$I187*0.2906</f>
        <v>0</v>
      </c>
      <c r="K187" s="45">
        <f>'NonPublic Enrollment'!$D187+'NonPublic Enrollment'!$F187+'NonPublic Enrollment'!$H187+'NonPublic Enrollment'!$J187</f>
        <v>132</v>
      </c>
      <c r="L187" s="39" t="s">
        <v>2569</v>
      </c>
    </row>
    <row r="188" spans="1:12">
      <c r="A188" s="36" t="s">
        <v>2561</v>
      </c>
      <c r="B188" s="36" t="str">
        <f>"057901"</f>
        <v>057901</v>
      </c>
      <c r="C188" s="36" t="s">
        <v>3033</v>
      </c>
      <c r="D188" s="44">
        <v>494</v>
      </c>
      <c r="E188" s="44">
        <v>481</v>
      </c>
      <c r="F188" s="44">
        <f>'NonPublic Enrollment'!$E188*0.1</f>
        <v>48.1</v>
      </c>
      <c r="G188" s="44">
        <v>23</v>
      </c>
      <c r="H188" s="44">
        <f>'NonPublic Enrollment'!$G188*0.7374</f>
        <v>16.9602</v>
      </c>
      <c r="I188" s="44">
        <v>295</v>
      </c>
      <c r="J188" s="44">
        <f>'NonPublic Enrollment'!$I188*0.2906</f>
        <v>85.727000000000004</v>
      </c>
      <c r="K188" s="44">
        <f>'NonPublic Enrollment'!$D188+'NonPublic Enrollment'!$F188+'NonPublic Enrollment'!$H188+'NonPublic Enrollment'!$J188</f>
        <v>644.78719999999998</v>
      </c>
      <c r="L188" s="37" t="s">
        <v>2591</v>
      </c>
    </row>
    <row r="189" spans="1:12">
      <c r="A189" s="38" t="s">
        <v>2561</v>
      </c>
      <c r="B189" s="38" t="str">
        <f>"090472"</f>
        <v>090472</v>
      </c>
      <c r="C189" s="38" t="s">
        <v>3032</v>
      </c>
      <c r="D189" s="45">
        <v>135</v>
      </c>
      <c r="E189" s="45">
        <v>87</v>
      </c>
      <c r="F189" s="45">
        <f>'NonPublic Enrollment'!$E189*0.1</f>
        <v>8.7000000000000011</v>
      </c>
      <c r="G189" s="45">
        <v>6</v>
      </c>
      <c r="H189" s="45">
        <f>'NonPublic Enrollment'!$G189*0.7374</f>
        <v>4.4244000000000003</v>
      </c>
      <c r="I189" s="45">
        <v>150</v>
      </c>
      <c r="J189" s="45">
        <f>'NonPublic Enrollment'!$I189*0.2906</f>
        <v>43.59</v>
      </c>
      <c r="K189" s="45">
        <f>'NonPublic Enrollment'!$D189+'NonPublic Enrollment'!$F189+'NonPublic Enrollment'!$H189+'NonPublic Enrollment'!$J189</f>
        <v>191.71439999999998</v>
      </c>
      <c r="L189" s="39" t="s">
        <v>2580</v>
      </c>
    </row>
    <row r="190" spans="1:12">
      <c r="A190" s="36" t="s">
        <v>2561</v>
      </c>
      <c r="B190" s="36" t="str">
        <f>"055228"</f>
        <v>055228</v>
      </c>
      <c r="C190" s="36" t="s">
        <v>2667</v>
      </c>
      <c r="D190" s="44">
        <v>321</v>
      </c>
      <c r="E190" s="44">
        <v>305</v>
      </c>
      <c r="F190" s="44">
        <f>'NonPublic Enrollment'!$E190*0.1</f>
        <v>30.5</v>
      </c>
      <c r="G190" s="44">
        <v>27</v>
      </c>
      <c r="H190" s="44">
        <f>'NonPublic Enrollment'!$G190*0.7374</f>
        <v>19.909800000000001</v>
      </c>
      <c r="I190" s="44">
        <v>129</v>
      </c>
      <c r="J190" s="44">
        <f>'NonPublic Enrollment'!$I190*0.2906</f>
        <v>37.487400000000001</v>
      </c>
      <c r="K190" s="44">
        <f>'NonPublic Enrollment'!$D190+'NonPublic Enrollment'!$F190+'NonPublic Enrollment'!$H190+'NonPublic Enrollment'!$J190</f>
        <v>408.8972</v>
      </c>
      <c r="L190" s="37" t="s">
        <v>2562</v>
      </c>
    </row>
    <row r="191" spans="1:12">
      <c r="A191" s="38" t="s">
        <v>2561</v>
      </c>
      <c r="B191" s="38" t="str">
        <f>"057588"</f>
        <v>057588</v>
      </c>
      <c r="C191" s="38" t="s">
        <v>3031</v>
      </c>
      <c r="D191" s="45">
        <v>337</v>
      </c>
      <c r="E191" s="45">
        <v>330</v>
      </c>
      <c r="F191" s="45">
        <f>'NonPublic Enrollment'!$E191*0.1</f>
        <v>33</v>
      </c>
      <c r="G191" s="45">
        <v>17</v>
      </c>
      <c r="H191" s="45">
        <f>'NonPublic Enrollment'!$G191*0.7374</f>
        <v>12.535800000000002</v>
      </c>
      <c r="I191" s="45">
        <v>128</v>
      </c>
      <c r="J191" s="45">
        <f>'NonPublic Enrollment'!$I191*0.2906</f>
        <v>37.196800000000003</v>
      </c>
      <c r="K191" s="45">
        <f>'NonPublic Enrollment'!$D191+'NonPublic Enrollment'!$F191+'NonPublic Enrollment'!$H191+'NonPublic Enrollment'!$J191</f>
        <v>419.73259999999999</v>
      </c>
      <c r="L191" s="39" t="s">
        <v>2562</v>
      </c>
    </row>
    <row r="192" spans="1:12">
      <c r="A192" s="36" t="s">
        <v>2561</v>
      </c>
      <c r="B192" s="36" t="str">
        <f>"058057"</f>
        <v>058057</v>
      </c>
      <c r="C192" s="36" t="s">
        <v>3030</v>
      </c>
      <c r="D192" s="44">
        <v>250</v>
      </c>
      <c r="E192" s="44">
        <v>213</v>
      </c>
      <c r="F192" s="44">
        <f>'NonPublic Enrollment'!$E192*0.1</f>
        <v>21.3</v>
      </c>
      <c r="G192" s="44">
        <v>20</v>
      </c>
      <c r="H192" s="44">
        <f>'NonPublic Enrollment'!$G192*0.7374</f>
        <v>14.748000000000001</v>
      </c>
      <c r="I192" s="44">
        <v>114</v>
      </c>
      <c r="J192" s="44">
        <f>'NonPublic Enrollment'!$I192*0.2906</f>
        <v>33.128400000000006</v>
      </c>
      <c r="K192" s="44">
        <f>'NonPublic Enrollment'!$D192+'NonPublic Enrollment'!$F192+'NonPublic Enrollment'!$H192+'NonPublic Enrollment'!$J192</f>
        <v>319.1764</v>
      </c>
      <c r="L192" s="37" t="s">
        <v>2591</v>
      </c>
    </row>
    <row r="193" spans="1:12">
      <c r="A193" s="38" t="s">
        <v>2561</v>
      </c>
      <c r="B193" s="38" t="str">
        <f>"060954"</f>
        <v>060954</v>
      </c>
      <c r="C193" s="38" t="s">
        <v>3012</v>
      </c>
      <c r="D193" s="45">
        <v>406</v>
      </c>
      <c r="E193" s="45">
        <v>10</v>
      </c>
      <c r="F193" s="45">
        <f>'NonPublic Enrollment'!$E193*0.1</f>
        <v>1</v>
      </c>
      <c r="G193" s="45">
        <v>12</v>
      </c>
      <c r="H193" s="45">
        <f>'NonPublic Enrollment'!$G193*0.7374</f>
        <v>8.8488000000000007</v>
      </c>
      <c r="I193" s="45">
        <v>108</v>
      </c>
      <c r="J193" s="45">
        <f>'NonPublic Enrollment'!$I193*0.2906</f>
        <v>31.384800000000002</v>
      </c>
      <c r="K193" s="45">
        <f>'NonPublic Enrollment'!$D193+'NonPublic Enrollment'!$F193+'NonPublic Enrollment'!$H193+'NonPublic Enrollment'!$J193</f>
        <v>447.23359999999997</v>
      </c>
      <c r="L193" s="39" t="s">
        <v>2586</v>
      </c>
    </row>
    <row r="194" spans="1:12">
      <c r="A194" s="36" t="s">
        <v>2561</v>
      </c>
      <c r="B194" s="36" t="str">
        <f>"054957"</f>
        <v>054957</v>
      </c>
      <c r="C194" s="36" t="s">
        <v>3029</v>
      </c>
      <c r="D194" s="44">
        <v>323</v>
      </c>
      <c r="E194" s="44">
        <v>197</v>
      </c>
      <c r="F194" s="44">
        <f>'NonPublic Enrollment'!$E194*0.1</f>
        <v>19.700000000000003</v>
      </c>
      <c r="G194" s="44">
        <v>36</v>
      </c>
      <c r="H194" s="44">
        <f>'NonPublic Enrollment'!$G194*0.7374</f>
        <v>26.546400000000002</v>
      </c>
      <c r="I194" s="44">
        <v>95</v>
      </c>
      <c r="J194" s="44">
        <f>'NonPublic Enrollment'!$I194*0.2906</f>
        <v>27.607000000000003</v>
      </c>
      <c r="K194" s="44">
        <f>'NonPublic Enrollment'!$D194+'NonPublic Enrollment'!$F194+'NonPublic Enrollment'!$H194+'NonPublic Enrollment'!$J194</f>
        <v>396.85340000000002</v>
      </c>
      <c r="L194" s="37" t="s">
        <v>2591</v>
      </c>
    </row>
    <row r="195" spans="1:12">
      <c r="A195" s="38" t="s">
        <v>2561</v>
      </c>
      <c r="B195" s="38" t="str">
        <f>"054361"</f>
        <v>054361</v>
      </c>
      <c r="C195" s="38" t="s">
        <v>2734</v>
      </c>
      <c r="D195" s="45">
        <v>191</v>
      </c>
      <c r="E195" s="45">
        <v>174</v>
      </c>
      <c r="F195" s="45">
        <f>'NonPublic Enrollment'!$E195*0.1</f>
        <v>17.400000000000002</v>
      </c>
      <c r="G195" s="45">
        <v>16</v>
      </c>
      <c r="H195" s="45">
        <f>'NonPublic Enrollment'!$G195*0.7374</f>
        <v>11.798400000000001</v>
      </c>
      <c r="I195" s="45">
        <v>90</v>
      </c>
      <c r="J195" s="45">
        <f>'NonPublic Enrollment'!$I195*0.2906</f>
        <v>26.154000000000003</v>
      </c>
      <c r="K195" s="45">
        <f>'NonPublic Enrollment'!$D195+'NonPublic Enrollment'!$F195+'NonPublic Enrollment'!$H195+'NonPublic Enrollment'!$J195</f>
        <v>246.35239999999999</v>
      </c>
      <c r="L195" s="39" t="s">
        <v>2591</v>
      </c>
    </row>
    <row r="196" spans="1:12">
      <c r="A196" s="36" t="s">
        <v>2561</v>
      </c>
      <c r="B196" s="36" t="str">
        <f>"054544"</f>
        <v>054544</v>
      </c>
      <c r="C196" s="36" t="s">
        <v>3028</v>
      </c>
      <c r="D196" s="44">
        <v>180</v>
      </c>
      <c r="E196" s="44">
        <v>172</v>
      </c>
      <c r="F196" s="44">
        <f>'NonPublic Enrollment'!$E196*0.1</f>
        <v>17.2</v>
      </c>
      <c r="G196" s="44">
        <v>9</v>
      </c>
      <c r="H196" s="44">
        <f>'NonPublic Enrollment'!$G196*0.7374</f>
        <v>6.6366000000000005</v>
      </c>
      <c r="I196" s="44">
        <v>85</v>
      </c>
      <c r="J196" s="44">
        <f>'NonPublic Enrollment'!$I196*0.2906</f>
        <v>24.701000000000001</v>
      </c>
      <c r="K196" s="44">
        <f>'NonPublic Enrollment'!$D196+'NonPublic Enrollment'!$F196+'NonPublic Enrollment'!$H196+'NonPublic Enrollment'!$J196</f>
        <v>228.53759999999997</v>
      </c>
      <c r="L196" s="37" t="s">
        <v>2591</v>
      </c>
    </row>
    <row r="197" spans="1:12">
      <c r="A197" s="38" t="s">
        <v>2561</v>
      </c>
      <c r="B197" s="38" t="str">
        <f>"054429"</f>
        <v>054429</v>
      </c>
      <c r="C197" s="38" t="s">
        <v>2671</v>
      </c>
      <c r="D197" s="45">
        <v>306</v>
      </c>
      <c r="E197" s="45">
        <v>262</v>
      </c>
      <c r="F197" s="45">
        <f>'NonPublic Enrollment'!$E197*0.1</f>
        <v>26.200000000000003</v>
      </c>
      <c r="G197" s="45">
        <v>23</v>
      </c>
      <c r="H197" s="45">
        <f>'NonPublic Enrollment'!$G197*0.7374</f>
        <v>16.9602</v>
      </c>
      <c r="I197" s="45">
        <v>81</v>
      </c>
      <c r="J197" s="45">
        <f>'NonPublic Enrollment'!$I197*0.2906</f>
        <v>23.538600000000002</v>
      </c>
      <c r="K197" s="45">
        <f>'NonPublic Enrollment'!$D197+'NonPublic Enrollment'!$F197+'NonPublic Enrollment'!$H197+'NonPublic Enrollment'!$J197</f>
        <v>372.69880000000001</v>
      </c>
      <c r="L197" s="39" t="s">
        <v>2562</v>
      </c>
    </row>
    <row r="198" spans="1:12">
      <c r="A198" s="36" t="s">
        <v>2561</v>
      </c>
      <c r="B198" s="36" t="str">
        <f>"013835"</f>
        <v>013835</v>
      </c>
      <c r="C198" s="36" t="s">
        <v>3027</v>
      </c>
      <c r="D198" s="44">
        <v>102</v>
      </c>
      <c r="E198" s="44">
        <v>90</v>
      </c>
      <c r="F198" s="44">
        <f>'NonPublic Enrollment'!$E198*0.1</f>
        <v>9</v>
      </c>
      <c r="G198" s="44">
        <v>0</v>
      </c>
      <c r="H198" s="44">
        <f>'NonPublic Enrollment'!$G198*0.7374</f>
        <v>0</v>
      </c>
      <c r="I198" s="44">
        <v>75</v>
      </c>
      <c r="J198" s="44">
        <f>'NonPublic Enrollment'!$I198*0.2906</f>
        <v>21.795000000000002</v>
      </c>
      <c r="K198" s="44">
        <f>'NonPublic Enrollment'!$D198+'NonPublic Enrollment'!$F198+'NonPublic Enrollment'!$H198+'NonPublic Enrollment'!$J198</f>
        <v>132.79500000000002</v>
      </c>
      <c r="L198" s="37" t="s">
        <v>2562</v>
      </c>
    </row>
    <row r="199" spans="1:12">
      <c r="A199" s="38" t="s">
        <v>2561</v>
      </c>
      <c r="B199" s="38" t="str">
        <f>"055053"</f>
        <v>055053</v>
      </c>
      <c r="C199" s="38" t="s">
        <v>2754</v>
      </c>
      <c r="D199" s="45">
        <v>393</v>
      </c>
      <c r="E199" s="45">
        <v>164</v>
      </c>
      <c r="F199" s="45">
        <f>'NonPublic Enrollment'!$E199*0.1</f>
        <v>16.400000000000002</v>
      </c>
      <c r="G199" s="45">
        <v>32</v>
      </c>
      <c r="H199" s="45">
        <f>'NonPublic Enrollment'!$G199*0.7374</f>
        <v>23.596800000000002</v>
      </c>
      <c r="I199" s="45">
        <v>68</v>
      </c>
      <c r="J199" s="45">
        <f>'NonPublic Enrollment'!$I199*0.2906</f>
        <v>19.760800000000003</v>
      </c>
      <c r="K199" s="45">
        <f>'NonPublic Enrollment'!$D199+'NonPublic Enrollment'!$F199+'NonPublic Enrollment'!$H199+'NonPublic Enrollment'!$J199</f>
        <v>452.75760000000002</v>
      </c>
      <c r="L199" s="39" t="s">
        <v>2591</v>
      </c>
    </row>
    <row r="200" spans="1:12">
      <c r="A200" s="36" t="s">
        <v>2561</v>
      </c>
      <c r="B200" s="36" t="str">
        <f>"056275"</f>
        <v>056275</v>
      </c>
      <c r="C200" s="36" t="s">
        <v>3026</v>
      </c>
      <c r="D200" s="44">
        <v>468</v>
      </c>
      <c r="E200" s="44">
        <v>431</v>
      </c>
      <c r="F200" s="44">
        <f>'NonPublic Enrollment'!$E200*0.1</f>
        <v>43.1</v>
      </c>
      <c r="G200" s="44">
        <v>61</v>
      </c>
      <c r="H200" s="44">
        <f>'NonPublic Enrollment'!$G200*0.7374</f>
        <v>44.981400000000001</v>
      </c>
      <c r="I200" s="44">
        <v>60</v>
      </c>
      <c r="J200" s="44">
        <f>'NonPublic Enrollment'!$I200*0.2906</f>
        <v>17.436</v>
      </c>
      <c r="K200" s="44">
        <f>'NonPublic Enrollment'!$D200+'NonPublic Enrollment'!$F200+'NonPublic Enrollment'!$H200+'NonPublic Enrollment'!$J200</f>
        <v>573.51740000000007</v>
      </c>
      <c r="L200" s="37" t="s">
        <v>2569</v>
      </c>
    </row>
    <row r="201" spans="1:12">
      <c r="A201" s="38" t="s">
        <v>2561</v>
      </c>
      <c r="B201" s="38" t="str">
        <f>"054171"</f>
        <v>054171</v>
      </c>
      <c r="C201" s="38" t="s">
        <v>3025</v>
      </c>
      <c r="D201" s="45">
        <v>83</v>
      </c>
      <c r="E201" s="45">
        <v>73</v>
      </c>
      <c r="F201" s="45">
        <f>'NonPublic Enrollment'!$E201*0.1</f>
        <v>7.3000000000000007</v>
      </c>
      <c r="G201" s="45">
        <v>5</v>
      </c>
      <c r="H201" s="45">
        <f>'NonPublic Enrollment'!$G201*0.7374</f>
        <v>3.6870000000000003</v>
      </c>
      <c r="I201" s="45">
        <v>59</v>
      </c>
      <c r="J201" s="45">
        <f>'NonPublic Enrollment'!$I201*0.2906</f>
        <v>17.145400000000002</v>
      </c>
      <c r="K201" s="45">
        <f>'NonPublic Enrollment'!$D201+'NonPublic Enrollment'!$F201+'NonPublic Enrollment'!$H201+'NonPublic Enrollment'!$J201</f>
        <v>111.13239999999999</v>
      </c>
      <c r="L201" s="39" t="s">
        <v>2562</v>
      </c>
    </row>
    <row r="202" spans="1:12">
      <c r="A202" s="36" t="s">
        <v>2561</v>
      </c>
      <c r="B202" s="36" t="str">
        <f>"060343"</f>
        <v>060343</v>
      </c>
      <c r="C202" s="36" t="s">
        <v>3024</v>
      </c>
      <c r="D202" s="44">
        <v>226</v>
      </c>
      <c r="E202" s="44">
        <v>174</v>
      </c>
      <c r="F202" s="44">
        <f>'NonPublic Enrollment'!$E202*0.1</f>
        <v>17.400000000000002</v>
      </c>
      <c r="G202" s="44">
        <v>0</v>
      </c>
      <c r="H202" s="44">
        <f>'NonPublic Enrollment'!$G202*0.7374</f>
        <v>0</v>
      </c>
      <c r="I202" s="44">
        <v>59</v>
      </c>
      <c r="J202" s="44">
        <f>'NonPublic Enrollment'!$I202*0.2906</f>
        <v>17.145400000000002</v>
      </c>
      <c r="K202" s="44">
        <f>'NonPublic Enrollment'!$D202+'NonPublic Enrollment'!$F202+'NonPublic Enrollment'!$H202+'NonPublic Enrollment'!$J202</f>
        <v>260.54540000000003</v>
      </c>
      <c r="L202" s="37" t="s">
        <v>2562</v>
      </c>
    </row>
    <row r="203" spans="1:12">
      <c r="A203" s="38" t="s">
        <v>2561</v>
      </c>
      <c r="B203" s="38" t="str">
        <f>"055657"</f>
        <v>055657</v>
      </c>
      <c r="C203" s="38" t="s">
        <v>3023</v>
      </c>
      <c r="D203" s="45">
        <v>238</v>
      </c>
      <c r="E203" s="45">
        <v>193</v>
      </c>
      <c r="F203" s="45">
        <f>'NonPublic Enrollment'!$E203*0.1</f>
        <v>19.3</v>
      </c>
      <c r="G203" s="45">
        <v>59</v>
      </c>
      <c r="H203" s="45">
        <f>'NonPublic Enrollment'!$G203*0.7374</f>
        <v>43.506600000000006</v>
      </c>
      <c r="I203" s="45">
        <v>57</v>
      </c>
      <c r="J203" s="45">
        <f>'NonPublic Enrollment'!$I203*0.2906</f>
        <v>16.564200000000003</v>
      </c>
      <c r="K203" s="45">
        <f>'NonPublic Enrollment'!$D203+'NonPublic Enrollment'!$F203+'NonPublic Enrollment'!$H203+'NonPublic Enrollment'!$J203</f>
        <v>317.37080000000003</v>
      </c>
      <c r="L203" s="39" t="s">
        <v>2580</v>
      </c>
    </row>
    <row r="204" spans="1:12">
      <c r="A204" s="36" t="s">
        <v>2561</v>
      </c>
      <c r="B204" s="36" t="str">
        <f>"122457"</f>
        <v>122457</v>
      </c>
      <c r="C204" s="36" t="s">
        <v>3022</v>
      </c>
      <c r="D204" s="44">
        <v>233</v>
      </c>
      <c r="E204" s="44">
        <v>149</v>
      </c>
      <c r="F204" s="44">
        <f>'NonPublic Enrollment'!$E204*0.1</f>
        <v>14.9</v>
      </c>
      <c r="G204" s="44">
        <v>12</v>
      </c>
      <c r="H204" s="44">
        <f>'NonPublic Enrollment'!$G204*0.7374</f>
        <v>8.8488000000000007</v>
      </c>
      <c r="I204" s="44">
        <v>57</v>
      </c>
      <c r="J204" s="44">
        <f>'NonPublic Enrollment'!$I204*0.2906</f>
        <v>16.564200000000003</v>
      </c>
      <c r="K204" s="44">
        <f>'NonPublic Enrollment'!$D204+'NonPublic Enrollment'!$F204+'NonPublic Enrollment'!$H204+'NonPublic Enrollment'!$J204</f>
        <v>273.31300000000005</v>
      </c>
      <c r="L204" s="37" t="s">
        <v>2562</v>
      </c>
    </row>
    <row r="205" spans="1:12">
      <c r="A205" s="38" t="s">
        <v>2561</v>
      </c>
      <c r="B205" s="38" t="str">
        <f>"054908"</f>
        <v>054908</v>
      </c>
      <c r="C205" s="38" t="s">
        <v>2999</v>
      </c>
      <c r="D205" s="45">
        <v>235</v>
      </c>
      <c r="E205" s="45">
        <v>165</v>
      </c>
      <c r="F205" s="45">
        <f>'NonPublic Enrollment'!$E205*0.1</f>
        <v>16.5</v>
      </c>
      <c r="G205" s="45">
        <v>29</v>
      </c>
      <c r="H205" s="45">
        <f>'NonPublic Enrollment'!$G205*0.7374</f>
        <v>21.384600000000002</v>
      </c>
      <c r="I205" s="45">
        <v>56</v>
      </c>
      <c r="J205" s="45">
        <f>'NonPublic Enrollment'!$I205*0.2906</f>
        <v>16.273600000000002</v>
      </c>
      <c r="K205" s="45">
        <f>'NonPublic Enrollment'!$D205+'NonPublic Enrollment'!$F205+'NonPublic Enrollment'!$H205+'NonPublic Enrollment'!$J205</f>
        <v>289.15819999999997</v>
      </c>
      <c r="L205" s="39" t="s">
        <v>2591</v>
      </c>
    </row>
    <row r="206" spans="1:12">
      <c r="A206" s="36" t="s">
        <v>2561</v>
      </c>
      <c r="B206" s="36" t="str">
        <f>"012508"</f>
        <v>012508</v>
      </c>
      <c r="C206" s="36" t="s">
        <v>3021</v>
      </c>
      <c r="D206" s="44">
        <v>301</v>
      </c>
      <c r="E206" s="44">
        <v>242</v>
      </c>
      <c r="F206" s="44">
        <f>'NonPublic Enrollment'!$E206*0.1</f>
        <v>24.200000000000003</v>
      </c>
      <c r="G206" s="44">
        <v>6</v>
      </c>
      <c r="H206" s="44">
        <f>'NonPublic Enrollment'!$G206*0.7374</f>
        <v>4.4244000000000003</v>
      </c>
      <c r="I206" s="44">
        <v>55</v>
      </c>
      <c r="J206" s="44">
        <f>'NonPublic Enrollment'!$I206*0.2906</f>
        <v>15.983000000000001</v>
      </c>
      <c r="K206" s="44">
        <f>'NonPublic Enrollment'!$D206+'NonPublic Enrollment'!$F206+'NonPublic Enrollment'!$H206+'NonPublic Enrollment'!$J206</f>
        <v>345.60739999999998</v>
      </c>
      <c r="L206" s="37" t="s">
        <v>2591</v>
      </c>
    </row>
    <row r="207" spans="1:12">
      <c r="A207" s="38" t="s">
        <v>2561</v>
      </c>
      <c r="B207" s="38" t="str">
        <f>"059717"</f>
        <v>059717</v>
      </c>
      <c r="C207" s="38" t="s">
        <v>2673</v>
      </c>
      <c r="D207" s="45">
        <v>139</v>
      </c>
      <c r="E207" s="45">
        <v>128</v>
      </c>
      <c r="F207" s="45">
        <f>'NonPublic Enrollment'!$E207*0.1</f>
        <v>12.8</v>
      </c>
      <c r="G207" s="45">
        <v>10</v>
      </c>
      <c r="H207" s="45">
        <f>'NonPublic Enrollment'!$G207*0.7374</f>
        <v>7.3740000000000006</v>
      </c>
      <c r="I207" s="45">
        <v>54</v>
      </c>
      <c r="J207" s="45">
        <f>'NonPublic Enrollment'!$I207*0.2906</f>
        <v>15.692400000000001</v>
      </c>
      <c r="K207" s="45">
        <f>'NonPublic Enrollment'!$D207+'NonPublic Enrollment'!$F207+'NonPublic Enrollment'!$H207+'NonPublic Enrollment'!$J207</f>
        <v>174.8664</v>
      </c>
      <c r="L207" s="39" t="s">
        <v>2562</v>
      </c>
    </row>
    <row r="208" spans="1:12">
      <c r="A208" s="36" t="s">
        <v>2561</v>
      </c>
      <c r="B208" s="36" t="str">
        <f>"056994"</f>
        <v>056994</v>
      </c>
      <c r="C208" s="36" t="s">
        <v>2757</v>
      </c>
      <c r="D208" s="44">
        <v>168</v>
      </c>
      <c r="E208" s="44">
        <v>122</v>
      </c>
      <c r="F208" s="44">
        <f>'NonPublic Enrollment'!$E208*0.1</f>
        <v>12.200000000000001</v>
      </c>
      <c r="G208" s="44">
        <v>8</v>
      </c>
      <c r="H208" s="44">
        <f>'NonPublic Enrollment'!$G208*0.7374</f>
        <v>5.8992000000000004</v>
      </c>
      <c r="I208" s="44">
        <v>47</v>
      </c>
      <c r="J208" s="44">
        <f>'NonPublic Enrollment'!$I208*0.2906</f>
        <v>13.658200000000001</v>
      </c>
      <c r="K208" s="44">
        <f>'NonPublic Enrollment'!$D208+'NonPublic Enrollment'!$F208+'NonPublic Enrollment'!$H208+'NonPublic Enrollment'!$J208</f>
        <v>199.75739999999999</v>
      </c>
      <c r="L208" s="37" t="s">
        <v>2586</v>
      </c>
    </row>
    <row r="209" spans="1:12">
      <c r="A209" s="38" t="s">
        <v>2561</v>
      </c>
      <c r="B209" s="38" t="str">
        <f>"132712"</f>
        <v>132712</v>
      </c>
      <c r="C209" s="38" t="s">
        <v>3020</v>
      </c>
      <c r="D209" s="45">
        <v>141</v>
      </c>
      <c r="E209" s="45">
        <v>27</v>
      </c>
      <c r="F209" s="45">
        <f>'NonPublic Enrollment'!$E209*0.1</f>
        <v>2.7</v>
      </c>
      <c r="G209" s="45">
        <v>5</v>
      </c>
      <c r="H209" s="45">
        <f>'NonPublic Enrollment'!$G209*0.7374</f>
        <v>3.6870000000000003</v>
      </c>
      <c r="I209" s="45">
        <v>46</v>
      </c>
      <c r="J209" s="45">
        <f>'NonPublic Enrollment'!$I209*0.2906</f>
        <v>13.367600000000001</v>
      </c>
      <c r="K209" s="45">
        <f>'NonPublic Enrollment'!$D209+'NonPublic Enrollment'!$F209+'NonPublic Enrollment'!$H209+'NonPublic Enrollment'!$J209</f>
        <v>160.75460000000001</v>
      </c>
      <c r="L209" s="39" t="s">
        <v>2562</v>
      </c>
    </row>
    <row r="210" spans="1:12">
      <c r="A210" s="36" t="s">
        <v>2561</v>
      </c>
      <c r="B210" s="36" t="str">
        <f>"017388"</f>
        <v>017388</v>
      </c>
      <c r="C210" s="36" t="s">
        <v>3019</v>
      </c>
      <c r="D210" s="44">
        <v>42</v>
      </c>
      <c r="E210" s="44">
        <v>27</v>
      </c>
      <c r="F210" s="44">
        <f>'NonPublic Enrollment'!$E210*0.1</f>
        <v>2.7</v>
      </c>
      <c r="G210" s="44">
        <v>0</v>
      </c>
      <c r="H210" s="44">
        <f>'NonPublic Enrollment'!$G210*0.7374</f>
        <v>0</v>
      </c>
      <c r="I210" s="44">
        <v>39</v>
      </c>
      <c r="J210" s="44">
        <f>'NonPublic Enrollment'!$I210*0.2906</f>
        <v>11.333400000000001</v>
      </c>
      <c r="K210" s="44">
        <f>'NonPublic Enrollment'!$D210+'NonPublic Enrollment'!$F210+'NonPublic Enrollment'!$H210+'NonPublic Enrollment'!$J210</f>
        <v>56.0334</v>
      </c>
      <c r="L210" s="37" t="s">
        <v>2562</v>
      </c>
    </row>
    <row r="211" spans="1:12">
      <c r="A211" s="38" t="s">
        <v>2561</v>
      </c>
      <c r="B211" s="38" t="str">
        <f>"055822"</f>
        <v>055822</v>
      </c>
      <c r="C211" s="38" t="s">
        <v>3018</v>
      </c>
      <c r="D211" s="45">
        <v>313</v>
      </c>
      <c r="E211" s="45">
        <v>310</v>
      </c>
      <c r="F211" s="45">
        <f>'NonPublic Enrollment'!$E211*0.1</f>
        <v>31</v>
      </c>
      <c r="G211" s="45">
        <v>22</v>
      </c>
      <c r="H211" s="45">
        <f>'NonPublic Enrollment'!$G211*0.7374</f>
        <v>16.222799999999999</v>
      </c>
      <c r="I211" s="45">
        <v>36</v>
      </c>
      <c r="J211" s="45">
        <f>'NonPublic Enrollment'!$I211*0.2906</f>
        <v>10.461600000000001</v>
      </c>
      <c r="K211" s="45">
        <f>'NonPublic Enrollment'!$D211+'NonPublic Enrollment'!$F211+'NonPublic Enrollment'!$H211+'NonPublic Enrollment'!$J211</f>
        <v>370.68439999999998</v>
      </c>
      <c r="L211" s="39" t="s">
        <v>2569</v>
      </c>
    </row>
    <row r="212" spans="1:12">
      <c r="A212" s="36" t="s">
        <v>2561</v>
      </c>
      <c r="B212" s="36" t="str">
        <f>"052829"</f>
        <v>052829</v>
      </c>
      <c r="C212" s="36" t="s">
        <v>2765</v>
      </c>
      <c r="D212" s="44">
        <v>515</v>
      </c>
      <c r="E212" s="44">
        <v>193</v>
      </c>
      <c r="F212" s="44">
        <f>'NonPublic Enrollment'!$E212*0.1</f>
        <v>19.3</v>
      </c>
      <c r="G212" s="44">
        <v>28</v>
      </c>
      <c r="H212" s="44">
        <f>'NonPublic Enrollment'!$G212*0.7374</f>
        <v>20.647200000000002</v>
      </c>
      <c r="I212" s="44">
        <v>34</v>
      </c>
      <c r="J212" s="44">
        <f>'NonPublic Enrollment'!$I212*0.2906</f>
        <v>9.8804000000000016</v>
      </c>
      <c r="K212" s="44">
        <f>'NonPublic Enrollment'!$D212+'NonPublic Enrollment'!$F212+'NonPublic Enrollment'!$H212+'NonPublic Enrollment'!$J212</f>
        <v>564.82759999999996</v>
      </c>
      <c r="L212" s="37" t="s">
        <v>2591</v>
      </c>
    </row>
    <row r="213" spans="1:12">
      <c r="A213" s="38" t="s">
        <v>2561</v>
      </c>
      <c r="B213" s="38" t="str">
        <f>"017151"</f>
        <v>017151</v>
      </c>
      <c r="C213" s="38" t="s">
        <v>3017</v>
      </c>
      <c r="D213" s="45">
        <v>181</v>
      </c>
      <c r="E213" s="45">
        <v>125</v>
      </c>
      <c r="F213" s="45">
        <f>'NonPublic Enrollment'!$E213*0.1</f>
        <v>12.5</v>
      </c>
      <c r="G213" s="45">
        <v>0</v>
      </c>
      <c r="H213" s="45">
        <f>'NonPublic Enrollment'!$G213*0.7374</f>
        <v>0</v>
      </c>
      <c r="I213" s="45">
        <v>32</v>
      </c>
      <c r="J213" s="45">
        <f>'NonPublic Enrollment'!$I213*0.2906</f>
        <v>9.2992000000000008</v>
      </c>
      <c r="K213" s="45">
        <f>'NonPublic Enrollment'!$D213+'NonPublic Enrollment'!$F213+'NonPublic Enrollment'!$H213+'NonPublic Enrollment'!$J213</f>
        <v>202.79920000000001</v>
      </c>
      <c r="L213" s="39" t="s">
        <v>2562</v>
      </c>
    </row>
    <row r="214" spans="1:12">
      <c r="A214" s="36" t="s">
        <v>2561</v>
      </c>
      <c r="B214" s="36" t="str">
        <f>"056051"</f>
        <v>056051</v>
      </c>
      <c r="C214" s="36" t="s">
        <v>3016</v>
      </c>
      <c r="D214" s="44">
        <v>261</v>
      </c>
      <c r="E214" s="44">
        <v>227</v>
      </c>
      <c r="F214" s="44">
        <f>'NonPublic Enrollment'!$E214*0.1</f>
        <v>22.700000000000003</v>
      </c>
      <c r="G214" s="44">
        <v>16</v>
      </c>
      <c r="H214" s="44">
        <f>'NonPublic Enrollment'!$G214*0.7374</f>
        <v>11.798400000000001</v>
      </c>
      <c r="I214" s="44">
        <v>31</v>
      </c>
      <c r="J214" s="44">
        <f>'NonPublic Enrollment'!$I214*0.2906</f>
        <v>9.0086000000000013</v>
      </c>
      <c r="K214" s="44">
        <f>'NonPublic Enrollment'!$D214+'NonPublic Enrollment'!$F214+'NonPublic Enrollment'!$H214+'NonPublic Enrollment'!$J214</f>
        <v>304.50700000000001</v>
      </c>
      <c r="L214" s="37" t="s">
        <v>2569</v>
      </c>
    </row>
    <row r="215" spans="1:12">
      <c r="A215" s="38" t="s">
        <v>2561</v>
      </c>
      <c r="B215" s="38" t="str">
        <f>"018011"</f>
        <v>018011</v>
      </c>
      <c r="C215" s="38" t="s">
        <v>3015</v>
      </c>
      <c r="D215" s="45">
        <v>503</v>
      </c>
      <c r="E215" s="45">
        <v>370</v>
      </c>
      <c r="F215" s="45">
        <f>'NonPublic Enrollment'!$E215*0.1</f>
        <v>37</v>
      </c>
      <c r="G215" s="45">
        <v>30</v>
      </c>
      <c r="H215" s="45">
        <f>'NonPublic Enrollment'!$G215*0.7374</f>
        <v>22.122</v>
      </c>
      <c r="I215" s="45">
        <v>30</v>
      </c>
      <c r="J215" s="45">
        <f>'NonPublic Enrollment'!$I215*0.2906</f>
        <v>8.718</v>
      </c>
      <c r="K215" s="45">
        <f>'NonPublic Enrollment'!$D215+'NonPublic Enrollment'!$F215+'NonPublic Enrollment'!$H215+'NonPublic Enrollment'!$J215</f>
        <v>570.83999999999992</v>
      </c>
      <c r="L215" s="39" t="s">
        <v>2569</v>
      </c>
    </row>
    <row r="216" spans="1:12">
      <c r="A216" s="36" t="s">
        <v>2561</v>
      </c>
      <c r="B216" s="36" t="str">
        <f>"053587"</f>
        <v>053587</v>
      </c>
      <c r="C216" s="36" t="s">
        <v>2812</v>
      </c>
      <c r="D216" s="44">
        <v>875</v>
      </c>
      <c r="E216" s="44">
        <v>71</v>
      </c>
      <c r="F216" s="44">
        <f>'NonPublic Enrollment'!$E216*0.1</f>
        <v>7.1000000000000005</v>
      </c>
      <c r="G216" s="44">
        <v>22</v>
      </c>
      <c r="H216" s="44">
        <f>'NonPublic Enrollment'!$G216*0.7374</f>
        <v>16.222799999999999</v>
      </c>
      <c r="I216" s="44">
        <v>30</v>
      </c>
      <c r="J216" s="44">
        <f>'NonPublic Enrollment'!$I216*0.2906</f>
        <v>8.718</v>
      </c>
      <c r="K216" s="44">
        <f>'NonPublic Enrollment'!$D216+'NonPublic Enrollment'!$F216+'NonPublic Enrollment'!$H216+'NonPublic Enrollment'!$J216</f>
        <v>907.04079999999999</v>
      </c>
      <c r="L216" s="37" t="s">
        <v>2591</v>
      </c>
    </row>
    <row r="217" spans="1:12">
      <c r="A217" s="38" t="s">
        <v>2561</v>
      </c>
      <c r="B217" s="38" t="str">
        <f>"058008"</f>
        <v>058008</v>
      </c>
      <c r="C217" s="38" t="s">
        <v>2689</v>
      </c>
      <c r="D217" s="45">
        <v>336</v>
      </c>
      <c r="E217" s="45">
        <v>172</v>
      </c>
      <c r="F217" s="45">
        <f>'NonPublic Enrollment'!$E217*0.1</f>
        <v>17.2</v>
      </c>
      <c r="G217" s="45">
        <v>25</v>
      </c>
      <c r="H217" s="45">
        <f>'NonPublic Enrollment'!$G217*0.7374</f>
        <v>18.435000000000002</v>
      </c>
      <c r="I217" s="45">
        <v>28</v>
      </c>
      <c r="J217" s="45">
        <f>'NonPublic Enrollment'!$I217*0.2906</f>
        <v>8.1368000000000009</v>
      </c>
      <c r="K217" s="45">
        <f>'NonPublic Enrollment'!$D217+'NonPublic Enrollment'!$F217+'NonPublic Enrollment'!$H217+'NonPublic Enrollment'!$J217</f>
        <v>379.77179999999998</v>
      </c>
      <c r="L217" s="39" t="s">
        <v>2580</v>
      </c>
    </row>
    <row r="218" spans="1:12">
      <c r="A218" s="36" t="s">
        <v>2561</v>
      </c>
      <c r="B218" s="36" t="str">
        <f>"085688"</f>
        <v>085688</v>
      </c>
      <c r="C218" s="36" t="s">
        <v>3014</v>
      </c>
      <c r="D218" s="44">
        <v>164</v>
      </c>
      <c r="E218" s="44">
        <v>41</v>
      </c>
      <c r="F218" s="44">
        <f>'NonPublic Enrollment'!$E218*0.1</f>
        <v>4.1000000000000005</v>
      </c>
      <c r="G218" s="44">
        <v>5</v>
      </c>
      <c r="H218" s="44">
        <f>'NonPublic Enrollment'!$G218*0.7374</f>
        <v>3.6870000000000003</v>
      </c>
      <c r="I218" s="44">
        <v>28</v>
      </c>
      <c r="J218" s="44">
        <f>'NonPublic Enrollment'!$I218*0.2906</f>
        <v>8.1368000000000009</v>
      </c>
      <c r="K218" s="44">
        <f>'NonPublic Enrollment'!$D218+'NonPublic Enrollment'!$F218+'NonPublic Enrollment'!$H218+'NonPublic Enrollment'!$J218</f>
        <v>179.9238</v>
      </c>
      <c r="L218" s="37" t="s">
        <v>2562</v>
      </c>
    </row>
    <row r="219" spans="1:12">
      <c r="A219" s="38" t="s">
        <v>2561</v>
      </c>
      <c r="B219" s="38" t="str">
        <f>"000176"</f>
        <v>000176</v>
      </c>
      <c r="C219" s="38" t="s">
        <v>3013</v>
      </c>
      <c r="D219" s="45">
        <v>198</v>
      </c>
      <c r="E219" s="45">
        <v>127</v>
      </c>
      <c r="F219" s="45">
        <f>'NonPublic Enrollment'!$E219*0.1</f>
        <v>12.700000000000001</v>
      </c>
      <c r="G219" s="45">
        <v>0</v>
      </c>
      <c r="H219" s="45">
        <f>'NonPublic Enrollment'!$G219*0.7374</f>
        <v>0</v>
      </c>
      <c r="I219" s="45">
        <v>28</v>
      </c>
      <c r="J219" s="45">
        <f>'NonPublic Enrollment'!$I219*0.2906</f>
        <v>8.1368000000000009</v>
      </c>
      <c r="K219" s="45">
        <f>'NonPublic Enrollment'!$D219+'NonPublic Enrollment'!$F219+'NonPublic Enrollment'!$H219+'NonPublic Enrollment'!$J219</f>
        <v>218.83679999999998</v>
      </c>
      <c r="L219" s="39" t="s">
        <v>2562</v>
      </c>
    </row>
    <row r="220" spans="1:12">
      <c r="A220" s="36" t="s">
        <v>2561</v>
      </c>
      <c r="B220" s="36" t="str">
        <f>"058933"</f>
        <v>058933</v>
      </c>
      <c r="C220" s="36" t="s">
        <v>3012</v>
      </c>
      <c r="D220" s="44">
        <v>108</v>
      </c>
      <c r="E220" s="44">
        <v>77</v>
      </c>
      <c r="F220" s="44">
        <f>'NonPublic Enrollment'!$E220*0.1</f>
        <v>7.7</v>
      </c>
      <c r="G220" s="44">
        <v>7</v>
      </c>
      <c r="H220" s="44">
        <f>'NonPublic Enrollment'!$G220*0.7374</f>
        <v>5.1618000000000004</v>
      </c>
      <c r="I220" s="44">
        <v>27</v>
      </c>
      <c r="J220" s="44">
        <f>'NonPublic Enrollment'!$I220*0.2906</f>
        <v>7.8462000000000005</v>
      </c>
      <c r="K220" s="44">
        <f>'NonPublic Enrollment'!$D220+'NonPublic Enrollment'!$F220+'NonPublic Enrollment'!$H220+'NonPublic Enrollment'!$J220</f>
        <v>128.708</v>
      </c>
      <c r="L220" s="37" t="s">
        <v>2591</v>
      </c>
    </row>
    <row r="221" spans="1:12">
      <c r="A221" s="38" t="s">
        <v>2561</v>
      </c>
      <c r="B221" s="38" t="str">
        <f>"054635"</f>
        <v>054635</v>
      </c>
      <c r="C221" s="38" t="s">
        <v>3011</v>
      </c>
      <c r="D221" s="45">
        <v>182</v>
      </c>
      <c r="E221" s="45">
        <v>176</v>
      </c>
      <c r="F221" s="45">
        <f>'NonPublic Enrollment'!$E221*0.1</f>
        <v>17.600000000000001</v>
      </c>
      <c r="G221" s="45">
        <v>27</v>
      </c>
      <c r="H221" s="45">
        <f>'NonPublic Enrollment'!$G221*0.7374</f>
        <v>19.909800000000001</v>
      </c>
      <c r="I221" s="45">
        <v>25</v>
      </c>
      <c r="J221" s="45">
        <f>'NonPublic Enrollment'!$I221*0.2906</f>
        <v>7.2650000000000006</v>
      </c>
      <c r="K221" s="45">
        <f>'NonPublic Enrollment'!$D221+'NonPublic Enrollment'!$F221+'NonPublic Enrollment'!$H221+'NonPublic Enrollment'!$J221</f>
        <v>226.77479999999997</v>
      </c>
      <c r="L221" s="39" t="s">
        <v>2591</v>
      </c>
    </row>
    <row r="222" spans="1:12">
      <c r="A222" s="36" t="s">
        <v>2561</v>
      </c>
      <c r="B222" s="36" t="str">
        <f>"056242"</f>
        <v>056242</v>
      </c>
      <c r="C222" s="36" t="s">
        <v>3010</v>
      </c>
      <c r="D222" s="44">
        <v>124</v>
      </c>
      <c r="E222" s="44">
        <v>133</v>
      </c>
      <c r="F222" s="44">
        <f>'NonPublic Enrollment'!$E222*0.1</f>
        <v>13.3</v>
      </c>
      <c r="G222" s="44">
        <v>14</v>
      </c>
      <c r="H222" s="44">
        <f>'NonPublic Enrollment'!$G222*0.7374</f>
        <v>10.323600000000001</v>
      </c>
      <c r="I222" s="44">
        <v>25</v>
      </c>
      <c r="J222" s="44">
        <f>'NonPublic Enrollment'!$I222*0.2906</f>
        <v>7.2650000000000006</v>
      </c>
      <c r="K222" s="44">
        <f>'NonPublic Enrollment'!$D222+'NonPublic Enrollment'!$F222+'NonPublic Enrollment'!$H222+'NonPublic Enrollment'!$J222</f>
        <v>154.8886</v>
      </c>
      <c r="L222" s="37" t="s">
        <v>2562</v>
      </c>
    </row>
    <row r="223" spans="1:12">
      <c r="A223" s="38" t="s">
        <v>2561</v>
      </c>
      <c r="B223" s="38" t="str">
        <f>"055178"</f>
        <v>055178</v>
      </c>
      <c r="C223" s="38" t="s">
        <v>2625</v>
      </c>
      <c r="D223" s="45">
        <v>209</v>
      </c>
      <c r="E223" s="45">
        <v>55</v>
      </c>
      <c r="F223" s="45">
        <f>'NonPublic Enrollment'!$E223*0.1</f>
        <v>5.5</v>
      </c>
      <c r="G223" s="45">
        <v>12</v>
      </c>
      <c r="H223" s="45">
        <f>'NonPublic Enrollment'!$G223*0.7374</f>
        <v>8.8488000000000007</v>
      </c>
      <c r="I223" s="45">
        <v>25</v>
      </c>
      <c r="J223" s="45">
        <f>'NonPublic Enrollment'!$I223*0.2906</f>
        <v>7.2650000000000006</v>
      </c>
      <c r="K223" s="45">
        <f>'NonPublic Enrollment'!$D223+'NonPublic Enrollment'!$F223+'NonPublic Enrollment'!$H223+'NonPublic Enrollment'!$J223</f>
        <v>230.61380000000003</v>
      </c>
      <c r="L223" s="39" t="s">
        <v>2591</v>
      </c>
    </row>
    <row r="224" spans="1:12">
      <c r="A224" s="36" t="s">
        <v>2561</v>
      </c>
      <c r="B224" s="36" t="str">
        <f>"058032"</f>
        <v>058032</v>
      </c>
      <c r="C224" s="36" t="s">
        <v>2689</v>
      </c>
      <c r="D224" s="44">
        <v>99</v>
      </c>
      <c r="E224" s="44">
        <v>19</v>
      </c>
      <c r="F224" s="44">
        <f>'NonPublic Enrollment'!$E224*0.1</f>
        <v>1.9000000000000001</v>
      </c>
      <c r="G224" s="44">
        <v>6</v>
      </c>
      <c r="H224" s="44">
        <f>'NonPublic Enrollment'!$G224*0.7374</f>
        <v>4.4244000000000003</v>
      </c>
      <c r="I224" s="44">
        <v>25</v>
      </c>
      <c r="J224" s="44">
        <f>'NonPublic Enrollment'!$I224*0.2906</f>
        <v>7.2650000000000006</v>
      </c>
      <c r="K224" s="44">
        <f>'NonPublic Enrollment'!$D224+'NonPublic Enrollment'!$F224+'NonPublic Enrollment'!$H224+'NonPublic Enrollment'!$J224</f>
        <v>112.58940000000001</v>
      </c>
      <c r="L224" s="37" t="s">
        <v>2562</v>
      </c>
    </row>
    <row r="225" spans="1:12">
      <c r="A225" s="38" t="s">
        <v>2561</v>
      </c>
      <c r="B225" s="38" t="str">
        <f>"054742"</f>
        <v>054742</v>
      </c>
      <c r="C225" s="38" t="s">
        <v>3009</v>
      </c>
      <c r="D225" s="45">
        <v>412</v>
      </c>
      <c r="E225" s="45">
        <v>219</v>
      </c>
      <c r="F225" s="45">
        <f>'NonPublic Enrollment'!$E225*0.1</f>
        <v>21.900000000000002</v>
      </c>
      <c r="G225" s="45">
        <v>45</v>
      </c>
      <c r="H225" s="45">
        <f>'NonPublic Enrollment'!$G225*0.7374</f>
        <v>33.183</v>
      </c>
      <c r="I225" s="45">
        <v>23</v>
      </c>
      <c r="J225" s="45">
        <f>'NonPublic Enrollment'!$I225*0.2906</f>
        <v>6.6838000000000006</v>
      </c>
      <c r="K225" s="45">
        <f>'NonPublic Enrollment'!$D225+'NonPublic Enrollment'!$F225+'NonPublic Enrollment'!$H225+'NonPublic Enrollment'!$J225</f>
        <v>473.76679999999999</v>
      </c>
      <c r="L225" s="39" t="s">
        <v>2562</v>
      </c>
    </row>
    <row r="226" spans="1:12">
      <c r="A226" s="36" t="s">
        <v>2561</v>
      </c>
      <c r="B226" s="36" t="str">
        <f>"052704"</f>
        <v>052704</v>
      </c>
      <c r="C226" s="36" t="s">
        <v>3008</v>
      </c>
      <c r="D226" s="44">
        <v>424</v>
      </c>
      <c r="E226" s="44">
        <v>114</v>
      </c>
      <c r="F226" s="44">
        <f>'NonPublic Enrollment'!$E226*0.1</f>
        <v>11.4</v>
      </c>
      <c r="G226" s="44">
        <v>29</v>
      </c>
      <c r="H226" s="44">
        <f>'NonPublic Enrollment'!$G226*0.7374</f>
        <v>21.384600000000002</v>
      </c>
      <c r="I226" s="44">
        <v>21</v>
      </c>
      <c r="J226" s="44">
        <f>'NonPublic Enrollment'!$I226*0.2906</f>
        <v>6.1026000000000007</v>
      </c>
      <c r="K226" s="44">
        <f>'NonPublic Enrollment'!$D226+'NonPublic Enrollment'!$F226+'NonPublic Enrollment'!$H226+'NonPublic Enrollment'!$J226</f>
        <v>462.88719999999995</v>
      </c>
      <c r="L226" s="37" t="s">
        <v>2562</v>
      </c>
    </row>
    <row r="227" spans="1:12">
      <c r="A227" s="38" t="s">
        <v>2561</v>
      </c>
      <c r="B227" s="38" t="str">
        <f>"055582"</f>
        <v>055582</v>
      </c>
      <c r="C227" s="38" t="s">
        <v>3007</v>
      </c>
      <c r="D227" s="45">
        <v>224</v>
      </c>
      <c r="E227" s="45">
        <v>103</v>
      </c>
      <c r="F227" s="45">
        <f>'NonPublic Enrollment'!$E227*0.1</f>
        <v>10.3</v>
      </c>
      <c r="G227" s="45">
        <v>21</v>
      </c>
      <c r="H227" s="45">
        <f>'NonPublic Enrollment'!$G227*0.7374</f>
        <v>15.485400000000002</v>
      </c>
      <c r="I227" s="45">
        <v>21</v>
      </c>
      <c r="J227" s="45">
        <f>'NonPublic Enrollment'!$I227*0.2906</f>
        <v>6.1026000000000007</v>
      </c>
      <c r="K227" s="45">
        <f>'NonPublic Enrollment'!$D227+'NonPublic Enrollment'!$F227+'NonPublic Enrollment'!$H227+'NonPublic Enrollment'!$J227</f>
        <v>255.88800000000001</v>
      </c>
      <c r="L227" s="39" t="s">
        <v>2591</v>
      </c>
    </row>
    <row r="228" spans="1:12">
      <c r="A228" s="36" t="s">
        <v>2561</v>
      </c>
      <c r="B228" s="36" t="str">
        <f>"054866"</f>
        <v>054866</v>
      </c>
      <c r="C228" s="36" t="s">
        <v>2724</v>
      </c>
      <c r="D228" s="44">
        <v>189</v>
      </c>
      <c r="E228" s="44">
        <v>163</v>
      </c>
      <c r="F228" s="44">
        <f>'NonPublic Enrollment'!$E228*0.1</f>
        <v>16.3</v>
      </c>
      <c r="G228" s="44">
        <v>11</v>
      </c>
      <c r="H228" s="44">
        <f>'NonPublic Enrollment'!$G228*0.7374</f>
        <v>8.1113999999999997</v>
      </c>
      <c r="I228" s="44">
        <v>20</v>
      </c>
      <c r="J228" s="44">
        <f>'NonPublic Enrollment'!$I228*0.2906</f>
        <v>5.8120000000000003</v>
      </c>
      <c r="K228" s="44">
        <f>'NonPublic Enrollment'!$D228+'NonPublic Enrollment'!$F228+'NonPublic Enrollment'!$H228+'NonPublic Enrollment'!$J228</f>
        <v>219.22340000000003</v>
      </c>
      <c r="L228" s="37" t="s">
        <v>2562</v>
      </c>
    </row>
    <row r="229" spans="1:12">
      <c r="A229" s="38" t="s">
        <v>2561</v>
      </c>
      <c r="B229" s="38" t="str">
        <f>"055855"</f>
        <v>055855</v>
      </c>
      <c r="C229" s="38" t="s">
        <v>3006</v>
      </c>
      <c r="D229" s="45">
        <v>178</v>
      </c>
      <c r="E229" s="45">
        <v>118</v>
      </c>
      <c r="F229" s="45">
        <f>'NonPublic Enrollment'!$E229*0.1</f>
        <v>11.8</v>
      </c>
      <c r="G229" s="45">
        <v>9</v>
      </c>
      <c r="H229" s="45">
        <f>'NonPublic Enrollment'!$G229*0.7374</f>
        <v>6.6366000000000005</v>
      </c>
      <c r="I229" s="45">
        <v>20</v>
      </c>
      <c r="J229" s="45">
        <f>'NonPublic Enrollment'!$I229*0.2906</f>
        <v>5.8120000000000003</v>
      </c>
      <c r="K229" s="45">
        <f>'NonPublic Enrollment'!$D229+'NonPublic Enrollment'!$F229+'NonPublic Enrollment'!$H229+'NonPublic Enrollment'!$J229</f>
        <v>202.24860000000001</v>
      </c>
      <c r="L229" s="39" t="s">
        <v>2569</v>
      </c>
    </row>
    <row r="230" spans="1:12">
      <c r="A230" s="36" t="s">
        <v>2561</v>
      </c>
      <c r="B230" s="36" t="str">
        <f>"052878"</f>
        <v>052878</v>
      </c>
      <c r="C230" s="36" t="s">
        <v>3005</v>
      </c>
      <c r="D230" s="44">
        <v>694</v>
      </c>
      <c r="E230" s="44">
        <v>212</v>
      </c>
      <c r="F230" s="44">
        <f>'NonPublic Enrollment'!$E230*0.1</f>
        <v>21.200000000000003</v>
      </c>
      <c r="G230" s="44">
        <v>73</v>
      </c>
      <c r="H230" s="44">
        <f>'NonPublic Enrollment'!$G230*0.7374</f>
        <v>53.830200000000005</v>
      </c>
      <c r="I230" s="44">
        <v>19</v>
      </c>
      <c r="J230" s="44">
        <f>'NonPublic Enrollment'!$I230*0.2906</f>
        <v>5.5214000000000008</v>
      </c>
      <c r="K230" s="44">
        <f>'NonPublic Enrollment'!$D230+'NonPublic Enrollment'!$F230+'NonPublic Enrollment'!$H230+'NonPublic Enrollment'!$J230</f>
        <v>774.55160000000001</v>
      </c>
      <c r="L230" s="37" t="s">
        <v>2591</v>
      </c>
    </row>
    <row r="231" spans="1:12">
      <c r="A231" s="38" t="s">
        <v>2561</v>
      </c>
      <c r="B231" s="38" t="str">
        <f>"053660"</f>
        <v>053660</v>
      </c>
      <c r="C231" s="38" t="s">
        <v>3004</v>
      </c>
      <c r="D231" s="45">
        <v>455</v>
      </c>
      <c r="E231" s="45">
        <v>191</v>
      </c>
      <c r="F231" s="45">
        <f>'NonPublic Enrollment'!$E231*0.1</f>
        <v>19.100000000000001</v>
      </c>
      <c r="G231" s="45">
        <v>46</v>
      </c>
      <c r="H231" s="45">
        <f>'NonPublic Enrollment'!$G231*0.7374</f>
        <v>33.920400000000001</v>
      </c>
      <c r="I231" s="45">
        <v>19</v>
      </c>
      <c r="J231" s="45">
        <f>'NonPublic Enrollment'!$I231*0.2906</f>
        <v>5.5214000000000008</v>
      </c>
      <c r="K231" s="45">
        <f>'NonPublic Enrollment'!$D231+'NonPublic Enrollment'!$F231+'NonPublic Enrollment'!$H231+'NonPublic Enrollment'!$J231</f>
        <v>513.54179999999997</v>
      </c>
      <c r="L231" s="39" t="s">
        <v>2569</v>
      </c>
    </row>
    <row r="232" spans="1:12">
      <c r="A232" s="36" t="s">
        <v>2561</v>
      </c>
      <c r="B232" s="36" t="str">
        <f>"054775"</f>
        <v>054775</v>
      </c>
      <c r="C232" s="36" t="s">
        <v>2665</v>
      </c>
      <c r="D232" s="44">
        <v>194</v>
      </c>
      <c r="E232" s="44">
        <v>158</v>
      </c>
      <c r="F232" s="44">
        <f>'NonPublic Enrollment'!$E232*0.1</f>
        <v>15.8</v>
      </c>
      <c r="G232" s="44">
        <v>23</v>
      </c>
      <c r="H232" s="44">
        <f>'NonPublic Enrollment'!$G232*0.7374</f>
        <v>16.9602</v>
      </c>
      <c r="I232" s="44">
        <v>19</v>
      </c>
      <c r="J232" s="44">
        <f>'NonPublic Enrollment'!$I232*0.2906</f>
        <v>5.5214000000000008</v>
      </c>
      <c r="K232" s="44">
        <f>'NonPublic Enrollment'!$D232+'NonPublic Enrollment'!$F232+'NonPublic Enrollment'!$H232+'NonPublic Enrollment'!$J232</f>
        <v>232.2816</v>
      </c>
      <c r="L232" s="37" t="s">
        <v>2562</v>
      </c>
    </row>
    <row r="233" spans="1:12">
      <c r="A233" s="38" t="s">
        <v>2561</v>
      </c>
      <c r="B233" s="38" t="str">
        <f>"055814"</f>
        <v>055814</v>
      </c>
      <c r="C233" s="38" t="s">
        <v>3003</v>
      </c>
      <c r="D233" s="45">
        <v>351</v>
      </c>
      <c r="E233" s="45">
        <v>164</v>
      </c>
      <c r="F233" s="45">
        <f>'NonPublic Enrollment'!$E233*0.1</f>
        <v>16.400000000000002</v>
      </c>
      <c r="G233" s="45">
        <v>17</v>
      </c>
      <c r="H233" s="45">
        <f>'NonPublic Enrollment'!$G233*0.7374</f>
        <v>12.535800000000002</v>
      </c>
      <c r="I233" s="45">
        <v>19</v>
      </c>
      <c r="J233" s="45">
        <f>'NonPublic Enrollment'!$I233*0.2906</f>
        <v>5.5214000000000008</v>
      </c>
      <c r="K233" s="45">
        <f>'NonPublic Enrollment'!$D233+'NonPublic Enrollment'!$F233+'NonPublic Enrollment'!$H233+'NonPublic Enrollment'!$J233</f>
        <v>385.4572</v>
      </c>
      <c r="L233" s="39" t="s">
        <v>2569</v>
      </c>
    </row>
    <row r="234" spans="1:12">
      <c r="A234" s="36" t="s">
        <v>2561</v>
      </c>
      <c r="B234" s="36" t="str">
        <f>"062604"</f>
        <v>062604</v>
      </c>
      <c r="C234" s="36" t="s">
        <v>3002</v>
      </c>
      <c r="D234" s="44">
        <v>120</v>
      </c>
      <c r="E234" s="44">
        <v>10</v>
      </c>
      <c r="F234" s="44">
        <f>'NonPublic Enrollment'!$E234*0.1</f>
        <v>1</v>
      </c>
      <c r="G234" s="44">
        <v>1</v>
      </c>
      <c r="H234" s="44">
        <f>'NonPublic Enrollment'!$G234*0.7374</f>
        <v>0.73740000000000006</v>
      </c>
      <c r="I234" s="44">
        <v>19</v>
      </c>
      <c r="J234" s="44">
        <f>'NonPublic Enrollment'!$I234*0.2906</f>
        <v>5.5214000000000008</v>
      </c>
      <c r="K234" s="44">
        <f>'NonPublic Enrollment'!$D234+'NonPublic Enrollment'!$F234+'NonPublic Enrollment'!$H234+'NonPublic Enrollment'!$J234</f>
        <v>127.25879999999999</v>
      </c>
      <c r="L234" s="37" t="s">
        <v>2562</v>
      </c>
    </row>
    <row r="235" spans="1:12">
      <c r="A235" s="38" t="s">
        <v>2561</v>
      </c>
      <c r="B235" s="38" t="str">
        <f>"054031"</f>
        <v>054031</v>
      </c>
      <c r="C235" s="38" t="s">
        <v>3001</v>
      </c>
      <c r="D235" s="45">
        <v>84</v>
      </c>
      <c r="E235" s="45">
        <v>79</v>
      </c>
      <c r="F235" s="45">
        <f>'NonPublic Enrollment'!$E235*0.1</f>
        <v>7.9</v>
      </c>
      <c r="G235" s="45">
        <v>2</v>
      </c>
      <c r="H235" s="45">
        <f>'NonPublic Enrollment'!$G235*0.7374</f>
        <v>1.4748000000000001</v>
      </c>
      <c r="I235" s="45">
        <v>18</v>
      </c>
      <c r="J235" s="45">
        <f>'NonPublic Enrollment'!$I235*0.2906</f>
        <v>5.2308000000000003</v>
      </c>
      <c r="K235" s="45">
        <f>'NonPublic Enrollment'!$D235+'NonPublic Enrollment'!$F235+'NonPublic Enrollment'!$H235+'NonPublic Enrollment'!$J235</f>
        <v>98.60560000000001</v>
      </c>
      <c r="L235" s="39" t="s">
        <v>2562</v>
      </c>
    </row>
    <row r="236" spans="1:12">
      <c r="A236" s="36" t="s">
        <v>2561</v>
      </c>
      <c r="B236" s="36" t="str">
        <f>"097279"</f>
        <v>097279</v>
      </c>
      <c r="C236" s="36" t="s">
        <v>3000</v>
      </c>
      <c r="D236" s="44">
        <v>136</v>
      </c>
      <c r="E236" s="44">
        <v>50</v>
      </c>
      <c r="F236" s="44">
        <f>'NonPublic Enrollment'!$E236*0.1</f>
        <v>5</v>
      </c>
      <c r="G236" s="44">
        <v>1</v>
      </c>
      <c r="H236" s="44">
        <f>'NonPublic Enrollment'!$G236*0.7374</f>
        <v>0.73740000000000006</v>
      </c>
      <c r="I236" s="44">
        <v>18</v>
      </c>
      <c r="J236" s="44">
        <f>'NonPublic Enrollment'!$I236*0.2906</f>
        <v>5.2308000000000003</v>
      </c>
      <c r="K236" s="44">
        <f>'NonPublic Enrollment'!$D236+'NonPublic Enrollment'!$F236+'NonPublic Enrollment'!$H236+'NonPublic Enrollment'!$J236</f>
        <v>146.9682</v>
      </c>
      <c r="L236" s="37" t="s">
        <v>2562</v>
      </c>
    </row>
    <row r="237" spans="1:12">
      <c r="A237" s="38" t="s">
        <v>2561</v>
      </c>
      <c r="B237" s="38" t="str">
        <f>"057851"</f>
        <v>057851</v>
      </c>
      <c r="C237" s="38" t="s">
        <v>2999</v>
      </c>
      <c r="D237" s="45">
        <v>224</v>
      </c>
      <c r="E237" s="45">
        <v>54</v>
      </c>
      <c r="F237" s="45">
        <f>'NonPublic Enrollment'!$E237*0.1</f>
        <v>5.4</v>
      </c>
      <c r="G237" s="45">
        <v>22</v>
      </c>
      <c r="H237" s="45">
        <f>'NonPublic Enrollment'!$G237*0.7374</f>
        <v>16.222799999999999</v>
      </c>
      <c r="I237" s="45">
        <v>17</v>
      </c>
      <c r="J237" s="45">
        <f>'NonPublic Enrollment'!$I237*0.2906</f>
        <v>4.9402000000000008</v>
      </c>
      <c r="K237" s="45">
        <f>'NonPublic Enrollment'!$D237+'NonPublic Enrollment'!$F237+'NonPublic Enrollment'!$H237+'NonPublic Enrollment'!$J237</f>
        <v>250.56300000000002</v>
      </c>
      <c r="L237" s="39" t="s">
        <v>2591</v>
      </c>
    </row>
    <row r="238" spans="1:12">
      <c r="A238" s="36" t="s">
        <v>2561</v>
      </c>
      <c r="B238" s="36" t="str">
        <f>"134429"</f>
        <v>134429</v>
      </c>
      <c r="C238" s="36" t="s">
        <v>2998</v>
      </c>
      <c r="D238" s="44">
        <v>182</v>
      </c>
      <c r="E238" s="44">
        <v>89</v>
      </c>
      <c r="F238" s="44">
        <f>'NonPublic Enrollment'!$E238*0.1</f>
        <v>8.9</v>
      </c>
      <c r="G238" s="44">
        <v>6</v>
      </c>
      <c r="H238" s="44">
        <f>'NonPublic Enrollment'!$G238*0.7374</f>
        <v>4.4244000000000003</v>
      </c>
      <c r="I238" s="44">
        <v>16</v>
      </c>
      <c r="J238" s="44">
        <f>'NonPublic Enrollment'!$I238*0.2906</f>
        <v>4.6496000000000004</v>
      </c>
      <c r="K238" s="44">
        <f>'NonPublic Enrollment'!$D238+'NonPublic Enrollment'!$F238+'NonPublic Enrollment'!$H238+'NonPublic Enrollment'!$J238</f>
        <v>199.97399999999999</v>
      </c>
      <c r="L238" s="37" t="s">
        <v>2562</v>
      </c>
    </row>
    <row r="239" spans="1:12">
      <c r="A239" s="38" t="s">
        <v>2561</v>
      </c>
      <c r="B239" s="38" t="str">
        <f>"055640"</f>
        <v>055640</v>
      </c>
      <c r="C239" s="38" t="s">
        <v>2997</v>
      </c>
      <c r="D239" s="45">
        <v>238</v>
      </c>
      <c r="E239" s="45">
        <v>95</v>
      </c>
      <c r="F239" s="45">
        <f>'NonPublic Enrollment'!$E239*0.1</f>
        <v>9.5</v>
      </c>
      <c r="G239" s="45">
        <v>16</v>
      </c>
      <c r="H239" s="45">
        <f>'NonPublic Enrollment'!$G239*0.7374</f>
        <v>11.798400000000001</v>
      </c>
      <c r="I239" s="45">
        <v>15</v>
      </c>
      <c r="J239" s="45">
        <f>'NonPublic Enrollment'!$I239*0.2906</f>
        <v>4.359</v>
      </c>
      <c r="K239" s="45">
        <f>'NonPublic Enrollment'!$D239+'NonPublic Enrollment'!$F239+'NonPublic Enrollment'!$H239+'NonPublic Enrollment'!$J239</f>
        <v>263.6574</v>
      </c>
      <c r="L239" s="39" t="s">
        <v>2582</v>
      </c>
    </row>
    <row r="240" spans="1:12">
      <c r="A240" s="36" t="s">
        <v>2561</v>
      </c>
      <c r="B240" s="36" t="str">
        <f>"057943"</f>
        <v>057943</v>
      </c>
      <c r="C240" s="36" t="s">
        <v>2996</v>
      </c>
      <c r="D240" s="44">
        <v>132</v>
      </c>
      <c r="E240" s="44">
        <v>50</v>
      </c>
      <c r="F240" s="44">
        <f>'NonPublic Enrollment'!$E240*0.1</f>
        <v>5</v>
      </c>
      <c r="G240" s="44">
        <v>7</v>
      </c>
      <c r="H240" s="44">
        <f>'NonPublic Enrollment'!$G240*0.7374</f>
        <v>5.1618000000000004</v>
      </c>
      <c r="I240" s="44">
        <v>15</v>
      </c>
      <c r="J240" s="44">
        <f>'NonPublic Enrollment'!$I240*0.2906</f>
        <v>4.359</v>
      </c>
      <c r="K240" s="44">
        <f>'NonPublic Enrollment'!$D240+'NonPublic Enrollment'!$F240+'NonPublic Enrollment'!$H240+'NonPublic Enrollment'!$J240</f>
        <v>146.52080000000001</v>
      </c>
      <c r="L240" s="37" t="s">
        <v>2591</v>
      </c>
    </row>
    <row r="241" spans="1:12">
      <c r="A241" s="38" t="s">
        <v>2561</v>
      </c>
      <c r="B241" s="38" t="str">
        <f>"053983"</f>
        <v>053983</v>
      </c>
      <c r="C241" s="38" t="s">
        <v>2995</v>
      </c>
      <c r="D241" s="45">
        <v>561</v>
      </c>
      <c r="E241" s="45">
        <v>424</v>
      </c>
      <c r="F241" s="45">
        <f>'NonPublic Enrollment'!$E241*0.1</f>
        <v>42.400000000000006</v>
      </c>
      <c r="G241" s="45">
        <v>105</v>
      </c>
      <c r="H241" s="45">
        <f>'NonPublic Enrollment'!$G241*0.7374</f>
        <v>77.427000000000007</v>
      </c>
      <c r="I241" s="45">
        <v>14</v>
      </c>
      <c r="J241" s="45">
        <f>'NonPublic Enrollment'!$I241*0.2906</f>
        <v>4.0684000000000005</v>
      </c>
      <c r="K241" s="45">
        <f>'NonPublic Enrollment'!$D241+'NonPublic Enrollment'!$F241+'NonPublic Enrollment'!$H241+'NonPublic Enrollment'!$J241</f>
        <v>684.8954</v>
      </c>
      <c r="L241" s="39" t="s">
        <v>2586</v>
      </c>
    </row>
    <row r="242" spans="1:12">
      <c r="A242" s="36" t="s">
        <v>2561</v>
      </c>
      <c r="B242" s="36" t="str">
        <f>"055293"</f>
        <v>055293</v>
      </c>
      <c r="C242" s="36" t="s">
        <v>2994</v>
      </c>
      <c r="D242" s="44">
        <v>268</v>
      </c>
      <c r="E242" s="44">
        <v>178</v>
      </c>
      <c r="F242" s="44">
        <f>'NonPublic Enrollment'!$E242*0.1</f>
        <v>17.8</v>
      </c>
      <c r="G242" s="44">
        <v>15</v>
      </c>
      <c r="H242" s="44">
        <f>'NonPublic Enrollment'!$G242*0.7374</f>
        <v>11.061</v>
      </c>
      <c r="I242" s="44">
        <v>13</v>
      </c>
      <c r="J242" s="44">
        <f>'NonPublic Enrollment'!$I242*0.2906</f>
        <v>3.7778000000000005</v>
      </c>
      <c r="K242" s="44">
        <f>'NonPublic Enrollment'!$D242+'NonPublic Enrollment'!$F242+'NonPublic Enrollment'!$H242+'NonPublic Enrollment'!$J242</f>
        <v>300.6388</v>
      </c>
      <c r="L242" s="37" t="s">
        <v>2562</v>
      </c>
    </row>
    <row r="243" spans="1:12">
      <c r="A243" s="38" t="s">
        <v>2561</v>
      </c>
      <c r="B243" s="38" t="str">
        <f>"091777"</f>
        <v>091777</v>
      </c>
      <c r="C243" s="38" t="s">
        <v>2993</v>
      </c>
      <c r="D243" s="45">
        <v>237</v>
      </c>
      <c r="E243" s="45">
        <v>68</v>
      </c>
      <c r="F243" s="45">
        <f>'NonPublic Enrollment'!$E243*0.1</f>
        <v>6.8000000000000007</v>
      </c>
      <c r="G243" s="45">
        <v>2</v>
      </c>
      <c r="H243" s="45">
        <f>'NonPublic Enrollment'!$G243*0.7374</f>
        <v>1.4748000000000001</v>
      </c>
      <c r="I243" s="45">
        <v>13</v>
      </c>
      <c r="J243" s="45">
        <f>'NonPublic Enrollment'!$I243*0.2906</f>
        <v>3.7778000000000005</v>
      </c>
      <c r="K243" s="45">
        <f>'NonPublic Enrollment'!$D243+'NonPublic Enrollment'!$F243+'NonPublic Enrollment'!$H243+'NonPublic Enrollment'!$J243</f>
        <v>249.05260000000001</v>
      </c>
      <c r="L243" s="39" t="s">
        <v>2562</v>
      </c>
    </row>
    <row r="244" spans="1:12">
      <c r="A244" s="36" t="s">
        <v>2561</v>
      </c>
      <c r="B244" s="36" t="str">
        <f>"070276"</f>
        <v>070276</v>
      </c>
      <c r="C244" s="36" t="s">
        <v>2992</v>
      </c>
      <c r="D244" s="44">
        <v>81</v>
      </c>
      <c r="E244" s="44">
        <v>0</v>
      </c>
      <c r="F244" s="44">
        <f>'NonPublic Enrollment'!$E244*0.1</f>
        <v>0</v>
      </c>
      <c r="G244" s="44">
        <v>2</v>
      </c>
      <c r="H244" s="44">
        <f>'NonPublic Enrollment'!$G244*0.7374</f>
        <v>1.4748000000000001</v>
      </c>
      <c r="I244" s="44">
        <v>13</v>
      </c>
      <c r="J244" s="44">
        <f>'NonPublic Enrollment'!$I244*0.2906</f>
        <v>3.7778000000000005</v>
      </c>
      <c r="K244" s="44">
        <f>'NonPublic Enrollment'!$D244+'NonPublic Enrollment'!$F244+'NonPublic Enrollment'!$H244+'NonPublic Enrollment'!$J244</f>
        <v>86.252600000000001</v>
      </c>
      <c r="L244" s="37" t="s">
        <v>2562</v>
      </c>
    </row>
    <row r="245" spans="1:12">
      <c r="A245" s="38" t="s">
        <v>2561</v>
      </c>
      <c r="B245" s="38" t="str">
        <f>"065003"</f>
        <v>065003</v>
      </c>
      <c r="C245" s="38" t="s">
        <v>2991</v>
      </c>
      <c r="D245" s="45">
        <v>187</v>
      </c>
      <c r="E245" s="45">
        <v>143</v>
      </c>
      <c r="F245" s="45">
        <f>'NonPublic Enrollment'!$E245*0.1</f>
        <v>14.3</v>
      </c>
      <c r="G245" s="45">
        <v>9</v>
      </c>
      <c r="H245" s="45">
        <f>'NonPublic Enrollment'!$G245*0.7374</f>
        <v>6.6366000000000005</v>
      </c>
      <c r="I245" s="45">
        <v>12</v>
      </c>
      <c r="J245" s="45">
        <f>'NonPublic Enrollment'!$I245*0.2906</f>
        <v>3.4872000000000005</v>
      </c>
      <c r="K245" s="45">
        <f>'NonPublic Enrollment'!$D245+'NonPublic Enrollment'!$F245+'NonPublic Enrollment'!$H245+'NonPublic Enrollment'!$J245</f>
        <v>211.4238</v>
      </c>
      <c r="L245" s="39" t="s">
        <v>2562</v>
      </c>
    </row>
    <row r="246" spans="1:12">
      <c r="A246" s="36" t="s">
        <v>2561</v>
      </c>
      <c r="B246" s="36" t="str">
        <f>"059733"</f>
        <v>059733</v>
      </c>
      <c r="C246" s="36" t="s">
        <v>2772</v>
      </c>
      <c r="D246" s="44">
        <v>222</v>
      </c>
      <c r="E246" s="44">
        <v>224</v>
      </c>
      <c r="F246" s="44">
        <f>'NonPublic Enrollment'!$E246*0.1</f>
        <v>22.400000000000002</v>
      </c>
      <c r="G246" s="44">
        <v>17</v>
      </c>
      <c r="H246" s="44">
        <f>'NonPublic Enrollment'!$G246*0.7374</f>
        <v>12.535800000000002</v>
      </c>
      <c r="I246" s="44">
        <v>11</v>
      </c>
      <c r="J246" s="44">
        <f>'NonPublic Enrollment'!$I246*0.2906</f>
        <v>3.1966000000000001</v>
      </c>
      <c r="K246" s="44">
        <f>'NonPublic Enrollment'!$D246+'NonPublic Enrollment'!$F246+'NonPublic Enrollment'!$H246+'NonPublic Enrollment'!$J246</f>
        <v>260.13240000000002</v>
      </c>
      <c r="L246" s="37" t="s">
        <v>2562</v>
      </c>
    </row>
    <row r="247" spans="1:12">
      <c r="A247" s="38" t="s">
        <v>2561</v>
      </c>
      <c r="B247" s="38" t="str">
        <f>"057646"</f>
        <v>057646</v>
      </c>
      <c r="C247" s="38" t="s">
        <v>2990</v>
      </c>
      <c r="D247" s="45">
        <v>275</v>
      </c>
      <c r="E247" s="45">
        <v>206</v>
      </c>
      <c r="F247" s="45">
        <f>'NonPublic Enrollment'!$E247*0.1</f>
        <v>20.6</v>
      </c>
      <c r="G247" s="45">
        <v>14</v>
      </c>
      <c r="H247" s="45">
        <f>'NonPublic Enrollment'!$G247*0.7374</f>
        <v>10.323600000000001</v>
      </c>
      <c r="I247" s="45">
        <v>11</v>
      </c>
      <c r="J247" s="45">
        <f>'NonPublic Enrollment'!$I247*0.2906</f>
        <v>3.1966000000000001</v>
      </c>
      <c r="K247" s="45">
        <f>'NonPublic Enrollment'!$D247+'NonPublic Enrollment'!$F247+'NonPublic Enrollment'!$H247+'NonPublic Enrollment'!$J247</f>
        <v>309.12020000000001</v>
      </c>
      <c r="L247" s="39" t="s">
        <v>2591</v>
      </c>
    </row>
    <row r="248" spans="1:12">
      <c r="A248" s="36" t="s">
        <v>2561</v>
      </c>
      <c r="B248" s="36" t="str">
        <f>"000476"</f>
        <v>000476</v>
      </c>
      <c r="C248" s="36" t="s">
        <v>2989</v>
      </c>
      <c r="D248" s="44">
        <v>382</v>
      </c>
      <c r="E248" s="44">
        <v>354</v>
      </c>
      <c r="F248" s="44">
        <f>'NonPublic Enrollment'!$E248*0.1</f>
        <v>35.4</v>
      </c>
      <c r="G248" s="44">
        <v>14</v>
      </c>
      <c r="H248" s="44">
        <f>'NonPublic Enrollment'!$G248*0.7374</f>
        <v>10.323600000000001</v>
      </c>
      <c r="I248" s="44">
        <v>11</v>
      </c>
      <c r="J248" s="44">
        <f>'NonPublic Enrollment'!$I248*0.2906</f>
        <v>3.1966000000000001</v>
      </c>
      <c r="K248" s="44">
        <f>'NonPublic Enrollment'!$D248+'NonPublic Enrollment'!$F248+'NonPublic Enrollment'!$H248+'NonPublic Enrollment'!$J248</f>
        <v>430.92019999999997</v>
      </c>
      <c r="L248" s="37" t="s">
        <v>2562</v>
      </c>
    </row>
    <row r="249" spans="1:12">
      <c r="A249" s="38" t="s">
        <v>2561</v>
      </c>
      <c r="B249" s="38" t="str">
        <f>"014040"</f>
        <v>014040</v>
      </c>
      <c r="C249" s="38" t="s">
        <v>2988</v>
      </c>
      <c r="D249" s="45">
        <v>407</v>
      </c>
      <c r="E249" s="45">
        <v>217</v>
      </c>
      <c r="F249" s="45">
        <f>'NonPublic Enrollment'!$E249*0.1</f>
        <v>21.700000000000003</v>
      </c>
      <c r="G249" s="45">
        <v>0</v>
      </c>
      <c r="H249" s="45">
        <f>'NonPublic Enrollment'!$G249*0.7374</f>
        <v>0</v>
      </c>
      <c r="I249" s="45">
        <v>11</v>
      </c>
      <c r="J249" s="45">
        <f>'NonPublic Enrollment'!$I249*0.2906</f>
        <v>3.1966000000000001</v>
      </c>
      <c r="K249" s="45">
        <f>'NonPublic Enrollment'!$D249+'NonPublic Enrollment'!$F249+'NonPublic Enrollment'!$H249+'NonPublic Enrollment'!$J249</f>
        <v>431.89659999999998</v>
      </c>
      <c r="L249" s="39" t="s">
        <v>2562</v>
      </c>
    </row>
    <row r="250" spans="1:12">
      <c r="A250" s="36" t="s">
        <v>2561</v>
      </c>
      <c r="B250" s="36" t="str">
        <f>"053454"</f>
        <v>053454</v>
      </c>
      <c r="C250" s="36" t="s">
        <v>2987</v>
      </c>
      <c r="D250" s="44">
        <v>343</v>
      </c>
      <c r="E250" s="44">
        <v>202</v>
      </c>
      <c r="F250" s="44">
        <f>'NonPublic Enrollment'!$E250*0.1</f>
        <v>20.200000000000003</v>
      </c>
      <c r="G250" s="44">
        <v>62</v>
      </c>
      <c r="H250" s="44">
        <f>'NonPublic Enrollment'!$G250*0.7374</f>
        <v>45.718800000000002</v>
      </c>
      <c r="I250" s="44">
        <v>10</v>
      </c>
      <c r="J250" s="44">
        <f>'NonPublic Enrollment'!$I250*0.2906</f>
        <v>2.9060000000000001</v>
      </c>
      <c r="K250" s="44">
        <f>'NonPublic Enrollment'!$D250+'NonPublic Enrollment'!$F250+'NonPublic Enrollment'!$H250+'NonPublic Enrollment'!$J250</f>
        <v>411.82479999999998</v>
      </c>
      <c r="L250" s="37" t="s">
        <v>2591</v>
      </c>
    </row>
    <row r="251" spans="1:12">
      <c r="A251" s="38" t="s">
        <v>2561</v>
      </c>
      <c r="B251" s="38" t="str">
        <f>"053058"</f>
        <v>053058</v>
      </c>
      <c r="C251" s="38" t="s">
        <v>2986</v>
      </c>
      <c r="D251" s="45">
        <v>599</v>
      </c>
      <c r="E251" s="45">
        <v>272</v>
      </c>
      <c r="F251" s="45">
        <f>'NonPublic Enrollment'!$E251*0.1</f>
        <v>27.200000000000003</v>
      </c>
      <c r="G251" s="45">
        <v>54</v>
      </c>
      <c r="H251" s="45">
        <f>'NonPublic Enrollment'!$G251*0.7374</f>
        <v>39.819600000000001</v>
      </c>
      <c r="I251" s="45">
        <v>10</v>
      </c>
      <c r="J251" s="45">
        <f>'NonPublic Enrollment'!$I251*0.2906</f>
        <v>2.9060000000000001</v>
      </c>
      <c r="K251" s="45">
        <f>'NonPublic Enrollment'!$D251+'NonPublic Enrollment'!$F251+'NonPublic Enrollment'!$H251+'NonPublic Enrollment'!$J251</f>
        <v>668.92560000000003</v>
      </c>
      <c r="L251" s="39" t="s">
        <v>2562</v>
      </c>
    </row>
    <row r="252" spans="1:12">
      <c r="A252" s="36" t="s">
        <v>2561</v>
      </c>
      <c r="B252" s="36" t="str">
        <f>"056267"</f>
        <v>056267</v>
      </c>
      <c r="C252" s="36" t="s">
        <v>2985</v>
      </c>
      <c r="D252" s="44">
        <v>204</v>
      </c>
      <c r="E252" s="44">
        <v>186</v>
      </c>
      <c r="F252" s="44">
        <f>'NonPublic Enrollment'!$E252*0.1</f>
        <v>18.600000000000001</v>
      </c>
      <c r="G252" s="44">
        <v>21</v>
      </c>
      <c r="H252" s="44">
        <f>'NonPublic Enrollment'!$G252*0.7374</f>
        <v>15.485400000000002</v>
      </c>
      <c r="I252" s="44">
        <v>10</v>
      </c>
      <c r="J252" s="44">
        <f>'NonPublic Enrollment'!$I252*0.2906</f>
        <v>2.9060000000000001</v>
      </c>
      <c r="K252" s="44">
        <f>'NonPublic Enrollment'!$D252+'NonPublic Enrollment'!$F252+'NonPublic Enrollment'!$H252+'NonPublic Enrollment'!$J252</f>
        <v>240.9914</v>
      </c>
      <c r="L252" s="37" t="s">
        <v>2569</v>
      </c>
    </row>
    <row r="253" spans="1:12">
      <c r="A253" s="38" t="s">
        <v>2561</v>
      </c>
      <c r="B253" s="38" t="str">
        <f>"054890"</f>
        <v>054890</v>
      </c>
      <c r="C253" s="38" t="s">
        <v>2984</v>
      </c>
      <c r="D253" s="45">
        <v>164</v>
      </c>
      <c r="E253" s="45">
        <v>71</v>
      </c>
      <c r="F253" s="45">
        <f>'NonPublic Enrollment'!$E253*0.1</f>
        <v>7.1000000000000005</v>
      </c>
      <c r="G253" s="45">
        <v>13</v>
      </c>
      <c r="H253" s="45">
        <f>'NonPublic Enrollment'!$G253*0.7374</f>
        <v>9.5862000000000016</v>
      </c>
      <c r="I253" s="45">
        <v>10</v>
      </c>
      <c r="J253" s="45">
        <f>'NonPublic Enrollment'!$I253*0.2906</f>
        <v>2.9060000000000001</v>
      </c>
      <c r="K253" s="45">
        <f>'NonPublic Enrollment'!$D253+'NonPublic Enrollment'!$F253+'NonPublic Enrollment'!$H253+'NonPublic Enrollment'!$J253</f>
        <v>183.59219999999999</v>
      </c>
      <c r="L253" s="39" t="s">
        <v>2562</v>
      </c>
    </row>
    <row r="254" spans="1:12">
      <c r="A254" s="36" t="s">
        <v>2561</v>
      </c>
      <c r="B254" s="36" t="str">
        <f>"087809"</f>
        <v>087809</v>
      </c>
      <c r="C254" s="36" t="s">
        <v>2983</v>
      </c>
      <c r="D254" s="44">
        <v>50</v>
      </c>
      <c r="E254" s="44">
        <v>49</v>
      </c>
      <c r="F254" s="44">
        <f>'NonPublic Enrollment'!$E254*0.1</f>
        <v>4.9000000000000004</v>
      </c>
      <c r="G254" s="44">
        <v>0</v>
      </c>
      <c r="H254" s="44">
        <f>'NonPublic Enrollment'!$G254*0.7374</f>
        <v>0</v>
      </c>
      <c r="I254" s="44">
        <v>10</v>
      </c>
      <c r="J254" s="44">
        <f>'NonPublic Enrollment'!$I254*0.2906</f>
        <v>2.9060000000000001</v>
      </c>
      <c r="K254" s="44">
        <f>'NonPublic Enrollment'!$D254+'NonPublic Enrollment'!$F254+'NonPublic Enrollment'!$H254+'NonPublic Enrollment'!$J254</f>
        <v>57.805999999999997</v>
      </c>
      <c r="L254" s="37" t="s">
        <v>2562</v>
      </c>
    </row>
    <row r="255" spans="1:12">
      <c r="A255" s="38" t="s">
        <v>2561</v>
      </c>
      <c r="B255" s="38" t="str">
        <f>"134536"</f>
        <v>134536</v>
      </c>
      <c r="C255" s="38" t="s">
        <v>2982</v>
      </c>
      <c r="D255" s="45">
        <v>102</v>
      </c>
      <c r="E255" s="45">
        <v>0</v>
      </c>
      <c r="F255" s="45">
        <f>'NonPublic Enrollment'!$E255*0.1</f>
        <v>0</v>
      </c>
      <c r="G255" s="45">
        <v>0</v>
      </c>
      <c r="H255" s="45">
        <f>'NonPublic Enrollment'!$G255*0.7374</f>
        <v>0</v>
      </c>
      <c r="I255" s="45">
        <v>9</v>
      </c>
      <c r="J255" s="45">
        <f>'NonPublic Enrollment'!$I255*0.2906</f>
        <v>2.6154000000000002</v>
      </c>
      <c r="K255" s="45">
        <f>'NonPublic Enrollment'!$D255+'NonPublic Enrollment'!$F255+'NonPublic Enrollment'!$H255+'NonPublic Enrollment'!$J255</f>
        <v>104.61539999999999</v>
      </c>
      <c r="L255" s="39" t="s">
        <v>2569</v>
      </c>
    </row>
    <row r="256" spans="1:12">
      <c r="A256" s="36" t="s">
        <v>2561</v>
      </c>
      <c r="B256" s="36" t="str">
        <f>"059980"</f>
        <v>059980</v>
      </c>
      <c r="C256" s="36" t="s">
        <v>2867</v>
      </c>
      <c r="D256" s="44">
        <v>89</v>
      </c>
      <c r="E256" s="44">
        <v>39</v>
      </c>
      <c r="F256" s="44">
        <f>'NonPublic Enrollment'!$E256*0.1</f>
        <v>3.9000000000000004</v>
      </c>
      <c r="G256" s="44">
        <v>25</v>
      </c>
      <c r="H256" s="44">
        <f>'NonPublic Enrollment'!$G256*0.7374</f>
        <v>18.435000000000002</v>
      </c>
      <c r="I256" s="44">
        <v>8</v>
      </c>
      <c r="J256" s="44">
        <f>'NonPublic Enrollment'!$I256*0.2906</f>
        <v>2.3248000000000002</v>
      </c>
      <c r="K256" s="44">
        <f>'NonPublic Enrollment'!$D256+'NonPublic Enrollment'!$F256+'NonPublic Enrollment'!$H256+'NonPublic Enrollment'!$J256</f>
        <v>113.6598</v>
      </c>
      <c r="L256" s="37" t="s">
        <v>2591</v>
      </c>
    </row>
    <row r="257" spans="1:12">
      <c r="A257" s="38" t="s">
        <v>2561</v>
      </c>
      <c r="B257" s="38" t="str">
        <f>"017447"</f>
        <v>017447</v>
      </c>
      <c r="C257" s="38" t="s">
        <v>2981</v>
      </c>
      <c r="D257" s="45">
        <v>30</v>
      </c>
      <c r="E257" s="45">
        <v>5</v>
      </c>
      <c r="F257" s="45">
        <f>'NonPublic Enrollment'!$E257*0.1</f>
        <v>0.5</v>
      </c>
      <c r="G257" s="45">
        <v>0</v>
      </c>
      <c r="H257" s="45">
        <f>'NonPublic Enrollment'!$G257*0.7374</f>
        <v>0</v>
      </c>
      <c r="I257" s="45">
        <v>8</v>
      </c>
      <c r="J257" s="45">
        <f>'NonPublic Enrollment'!$I257*0.2906</f>
        <v>2.3248000000000002</v>
      </c>
      <c r="K257" s="45">
        <f>'NonPublic Enrollment'!$D257+'NonPublic Enrollment'!$F257+'NonPublic Enrollment'!$H257+'NonPublic Enrollment'!$J257</f>
        <v>32.824800000000003</v>
      </c>
      <c r="L257" s="39" t="s">
        <v>2562</v>
      </c>
    </row>
    <row r="258" spans="1:12">
      <c r="A258" s="36" t="s">
        <v>2561</v>
      </c>
      <c r="B258" s="36" t="str">
        <f>"123950"</f>
        <v>123950</v>
      </c>
      <c r="C258" s="36" t="s">
        <v>2980</v>
      </c>
      <c r="D258" s="44">
        <v>367</v>
      </c>
      <c r="E258" s="44">
        <v>127</v>
      </c>
      <c r="F258" s="44">
        <f>'NonPublic Enrollment'!$E258*0.1</f>
        <v>12.700000000000001</v>
      </c>
      <c r="G258" s="44">
        <v>19</v>
      </c>
      <c r="H258" s="44">
        <f>'NonPublic Enrollment'!$G258*0.7374</f>
        <v>14.0106</v>
      </c>
      <c r="I258" s="44">
        <v>7</v>
      </c>
      <c r="J258" s="44">
        <f>'NonPublic Enrollment'!$I258*0.2906</f>
        <v>2.0342000000000002</v>
      </c>
      <c r="K258" s="44">
        <f>'NonPublic Enrollment'!$D258+'NonPublic Enrollment'!$F258+'NonPublic Enrollment'!$H258+'NonPublic Enrollment'!$J258</f>
        <v>395.7448</v>
      </c>
      <c r="L258" s="37" t="s">
        <v>2562</v>
      </c>
    </row>
    <row r="259" spans="1:12">
      <c r="A259" s="38" t="s">
        <v>2561</v>
      </c>
      <c r="B259" s="38" t="str">
        <f>"059667"</f>
        <v>059667</v>
      </c>
      <c r="C259" s="38" t="s">
        <v>2727</v>
      </c>
      <c r="D259" s="45">
        <v>185</v>
      </c>
      <c r="E259" s="45">
        <v>74</v>
      </c>
      <c r="F259" s="45">
        <f>'NonPublic Enrollment'!$E259*0.1</f>
        <v>7.4</v>
      </c>
      <c r="G259" s="45">
        <v>14</v>
      </c>
      <c r="H259" s="45">
        <f>'NonPublic Enrollment'!$G259*0.7374</f>
        <v>10.323600000000001</v>
      </c>
      <c r="I259" s="45">
        <v>7</v>
      </c>
      <c r="J259" s="45">
        <f>'NonPublic Enrollment'!$I259*0.2906</f>
        <v>2.0342000000000002</v>
      </c>
      <c r="K259" s="45">
        <f>'NonPublic Enrollment'!$D259+'NonPublic Enrollment'!$F259+'NonPublic Enrollment'!$H259+'NonPublic Enrollment'!$J259</f>
        <v>204.7578</v>
      </c>
      <c r="L259" s="39" t="s">
        <v>2562</v>
      </c>
    </row>
    <row r="260" spans="1:12">
      <c r="A260" s="36" t="s">
        <v>2561</v>
      </c>
      <c r="B260" s="36" t="str">
        <f>"086389"</f>
        <v>086389</v>
      </c>
      <c r="C260" s="36" t="s">
        <v>2979</v>
      </c>
      <c r="D260" s="44">
        <v>154</v>
      </c>
      <c r="E260" s="44">
        <v>84</v>
      </c>
      <c r="F260" s="44">
        <f>'NonPublic Enrollment'!$E260*0.1</f>
        <v>8.4</v>
      </c>
      <c r="G260" s="44">
        <v>3</v>
      </c>
      <c r="H260" s="44">
        <f>'NonPublic Enrollment'!$G260*0.7374</f>
        <v>2.2122000000000002</v>
      </c>
      <c r="I260" s="44">
        <v>7</v>
      </c>
      <c r="J260" s="44">
        <f>'NonPublic Enrollment'!$I260*0.2906</f>
        <v>2.0342000000000002</v>
      </c>
      <c r="K260" s="44">
        <f>'NonPublic Enrollment'!$D260+'NonPublic Enrollment'!$F260+'NonPublic Enrollment'!$H260+'NonPublic Enrollment'!$J260</f>
        <v>166.6464</v>
      </c>
      <c r="L260" s="37" t="s">
        <v>2562</v>
      </c>
    </row>
    <row r="261" spans="1:12">
      <c r="A261" s="38" t="s">
        <v>2561</v>
      </c>
      <c r="B261" s="38" t="str">
        <f>"055038"</f>
        <v>055038</v>
      </c>
      <c r="C261" s="38" t="s">
        <v>2978</v>
      </c>
      <c r="D261" s="45">
        <v>169</v>
      </c>
      <c r="E261" s="45">
        <v>151</v>
      </c>
      <c r="F261" s="45">
        <f>'NonPublic Enrollment'!$E261*0.1</f>
        <v>15.100000000000001</v>
      </c>
      <c r="G261" s="45">
        <v>32</v>
      </c>
      <c r="H261" s="45">
        <f>'NonPublic Enrollment'!$G261*0.7374</f>
        <v>23.596800000000002</v>
      </c>
      <c r="I261" s="45">
        <v>6</v>
      </c>
      <c r="J261" s="45">
        <f>'NonPublic Enrollment'!$I261*0.2906</f>
        <v>1.7436000000000003</v>
      </c>
      <c r="K261" s="45">
        <f>'NonPublic Enrollment'!$D261+'NonPublic Enrollment'!$F261+'NonPublic Enrollment'!$H261+'NonPublic Enrollment'!$J261</f>
        <v>209.44039999999998</v>
      </c>
      <c r="L261" s="39" t="s">
        <v>2591</v>
      </c>
    </row>
    <row r="262" spans="1:12">
      <c r="A262" s="36" t="s">
        <v>2561</v>
      </c>
      <c r="B262" s="36" t="str">
        <f>"064402"</f>
        <v>064402</v>
      </c>
      <c r="C262" s="36" t="s">
        <v>2977</v>
      </c>
      <c r="D262" s="44">
        <v>243</v>
      </c>
      <c r="E262" s="44">
        <v>7</v>
      </c>
      <c r="F262" s="44">
        <f>'NonPublic Enrollment'!$E262*0.1</f>
        <v>0.70000000000000007</v>
      </c>
      <c r="G262" s="44">
        <v>29</v>
      </c>
      <c r="H262" s="44">
        <f>'NonPublic Enrollment'!$G262*0.7374</f>
        <v>21.384600000000002</v>
      </c>
      <c r="I262" s="44">
        <v>6</v>
      </c>
      <c r="J262" s="44">
        <f>'NonPublic Enrollment'!$I262*0.2906</f>
        <v>1.7436000000000003</v>
      </c>
      <c r="K262" s="44">
        <f>'NonPublic Enrollment'!$D262+'NonPublic Enrollment'!$F262+'NonPublic Enrollment'!$H262+'NonPublic Enrollment'!$J262</f>
        <v>266.82819999999998</v>
      </c>
      <c r="L262" s="37" t="s">
        <v>2562</v>
      </c>
    </row>
    <row r="263" spans="1:12">
      <c r="A263" s="38" t="s">
        <v>2561</v>
      </c>
      <c r="B263" s="38" t="str">
        <f>"054213"</f>
        <v>054213</v>
      </c>
      <c r="C263" s="38" t="s">
        <v>2976</v>
      </c>
      <c r="D263" s="45">
        <v>136</v>
      </c>
      <c r="E263" s="45">
        <v>80</v>
      </c>
      <c r="F263" s="45">
        <f>'NonPublic Enrollment'!$E263*0.1</f>
        <v>8</v>
      </c>
      <c r="G263" s="45">
        <v>7</v>
      </c>
      <c r="H263" s="45">
        <f>'NonPublic Enrollment'!$G263*0.7374</f>
        <v>5.1618000000000004</v>
      </c>
      <c r="I263" s="45">
        <v>6</v>
      </c>
      <c r="J263" s="45">
        <f>'NonPublic Enrollment'!$I263*0.2906</f>
        <v>1.7436000000000003</v>
      </c>
      <c r="K263" s="45">
        <f>'NonPublic Enrollment'!$D263+'NonPublic Enrollment'!$F263+'NonPublic Enrollment'!$H263+'NonPublic Enrollment'!$J263</f>
        <v>150.90539999999999</v>
      </c>
      <c r="L263" s="39" t="s">
        <v>2562</v>
      </c>
    </row>
    <row r="264" spans="1:12">
      <c r="A264" s="36" t="s">
        <v>2561</v>
      </c>
      <c r="B264" s="36" t="str">
        <f>"133207"</f>
        <v>133207</v>
      </c>
      <c r="C264" s="36" t="s">
        <v>2975</v>
      </c>
      <c r="D264" s="44">
        <v>107</v>
      </c>
      <c r="E264" s="44">
        <v>48</v>
      </c>
      <c r="F264" s="44">
        <f>'NonPublic Enrollment'!$E264*0.1</f>
        <v>4.8000000000000007</v>
      </c>
      <c r="G264" s="44">
        <v>3</v>
      </c>
      <c r="H264" s="44">
        <f>'NonPublic Enrollment'!$G264*0.7374</f>
        <v>2.2122000000000002</v>
      </c>
      <c r="I264" s="44">
        <v>6</v>
      </c>
      <c r="J264" s="44">
        <f>'NonPublic Enrollment'!$I264*0.2906</f>
        <v>1.7436000000000003</v>
      </c>
      <c r="K264" s="44">
        <f>'NonPublic Enrollment'!$D264+'NonPublic Enrollment'!$F264+'NonPublic Enrollment'!$H264+'NonPublic Enrollment'!$J264</f>
        <v>115.75579999999999</v>
      </c>
      <c r="L264" s="37" t="s">
        <v>2562</v>
      </c>
    </row>
    <row r="265" spans="1:12">
      <c r="A265" s="38" t="s">
        <v>2561</v>
      </c>
      <c r="B265" s="38" t="str">
        <f>"054510"</f>
        <v>054510</v>
      </c>
      <c r="C265" s="38" t="s">
        <v>2974</v>
      </c>
      <c r="D265" s="45">
        <v>308</v>
      </c>
      <c r="E265" s="45">
        <v>125</v>
      </c>
      <c r="F265" s="45">
        <f>'NonPublic Enrollment'!$E265*0.1</f>
        <v>12.5</v>
      </c>
      <c r="G265" s="45">
        <v>24</v>
      </c>
      <c r="H265" s="45">
        <f>'NonPublic Enrollment'!$G265*0.7374</f>
        <v>17.697600000000001</v>
      </c>
      <c r="I265" s="45">
        <v>5</v>
      </c>
      <c r="J265" s="45">
        <f>'NonPublic Enrollment'!$I265*0.2906</f>
        <v>1.4530000000000001</v>
      </c>
      <c r="K265" s="45">
        <f>'NonPublic Enrollment'!$D265+'NonPublic Enrollment'!$F265+'NonPublic Enrollment'!$H265+'NonPublic Enrollment'!$J265</f>
        <v>339.6506</v>
      </c>
      <c r="L265" s="39" t="s">
        <v>2562</v>
      </c>
    </row>
    <row r="266" spans="1:12">
      <c r="A266" s="36" t="s">
        <v>2561</v>
      </c>
      <c r="B266" s="36" t="str">
        <f>"055319"</f>
        <v>055319</v>
      </c>
      <c r="C266" s="36" t="s">
        <v>2689</v>
      </c>
      <c r="D266" s="44">
        <v>452</v>
      </c>
      <c r="E266" s="44">
        <v>14</v>
      </c>
      <c r="F266" s="44">
        <f>'NonPublic Enrollment'!$E266*0.1</f>
        <v>1.4000000000000001</v>
      </c>
      <c r="G266" s="44">
        <v>17</v>
      </c>
      <c r="H266" s="44">
        <f>'NonPublic Enrollment'!$G266*0.7374</f>
        <v>12.535800000000002</v>
      </c>
      <c r="I266" s="44">
        <v>5</v>
      </c>
      <c r="J266" s="44">
        <f>'NonPublic Enrollment'!$I266*0.2906</f>
        <v>1.4530000000000001</v>
      </c>
      <c r="K266" s="44">
        <f>'NonPublic Enrollment'!$D266+'NonPublic Enrollment'!$F266+'NonPublic Enrollment'!$H266+'NonPublic Enrollment'!$J266</f>
        <v>467.38879999999995</v>
      </c>
      <c r="L266" s="37" t="s">
        <v>2591</v>
      </c>
    </row>
    <row r="267" spans="1:12">
      <c r="A267" s="38" t="s">
        <v>2561</v>
      </c>
      <c r="B267" s="38" t="str">
        <f>"134353"</f>
        <v>134353</v>
      </c>
      <c r="C267" s="38" t="s">
        <v>2973</v>
      </c>
      <c r="D267" s="45">
        <v>155</v>
      </c>
      <c r="E267" s="45">
        <v>114</v>
      </c>
      <c r="F267" s="45">
        <f>'NonPublic Enrollment'!$E267*0.1</f>
        <v>11.4</v>
      </c>
      <c r="G267" s="45">
        <v>0</v>
      </c>
      <c r="H267" s="45">
        <f>'NonPublic Enrollment'!$G267*0.7374</f>
        <v>0</v>
      </c>
      <c r="I267" s="45">
        <v>5</v>
      </c>
      <c r="J267" s="45">
        <f>'NonPublic Enrollment'!$I267*0.2906</f>
        <v>1.4530000000000001</v>
      </c>
      <c r="K267" s="45">
        <f>'NonPublic Enrollment'!$D267+'NonPublic Enrollment'!$F267+'NonPublic Enrollment'!$H267+'NonPublic Enrollment'!$J267</f>
        <v>167.85300000000001</v>
      </c>
      <c r="L267" s="39" t="s">
        <v>2562</v>
      </c>
    </row>
    <row r="268" spans="1:12">
      <c r="A268" s="36" t="s">
        <v>2561</v>
      </c>
      <c r="B268" s="36" t="str">
        <f>"124883"</f>
        <v>124883</v>
      </c>
      <c r="C268" s="36" t="s">
        <v>2972</v>
      </c>
      <c r="D268" s="44">
        <v>543</v>
      </c>
      <c r="E268" s="44">
        <v>8</v>
      </c>
      <c r="F268" s="44">
        <f>'NonPublic Enrollment'!$E268*0.1</f>
        <v>0.8</v>
      </c>
      <c r="G268" s="44">
        <v>34</v>
      </c>
      <c r="H268" s="44">
        <f>'NonPublic Enrollment'!$G268*0.7374</f>
        <v>25.071600000000004</v>
      </c>
      <c r="I268" s="44">
        <v>4</v>
      </c>
      <c r="J268" s="44">
        <f>'NonPublic Enrollment'!$I268*0.2906</f>
        <v>1.1624000000000001</v>
      </c>
      <c r="K268" s="44">
        <f>'NonPublic Enrollment'!$D268+'NonPublic Enrollment'!$F268+'NonPublic Enrollment'!$H268+'NonPublic Enrollment'!$J268</f>
        <v>570.03399999999999</v>
      </c>
      <c r="L268" s="37" t="s">
        <v>2562</v>
      </c>
    </row>
    <row r="269" spans="1:12">
      <c r="A269" s="38" t="s">
        <v>2561</v>
      </c>
      <c r="B269" s="38" t="str">
        <f>"053215"</f>
        <v>053215</v>
      </c>
      <c r="C269" s="38" t="s">
        <v>2971</v>
      </c>
      <c r="D269" s="45">
        <v>701</v>
      </c>
      <c r="E269" s="45">
        <v>68</v>
      </c>
      <c r="F269" s="45">
        <f>'NonPublic Enrollment'!$E269*0.1</f>
        <v>6.8000000000000007</v>
      </c>
      <c r="G269" s="45">
        <v>25</v>
      </c>
      <c r="H269" s="45">
        <f>'NonPublic Enrollment'!$G269*0.7374</f>
        <v>18.435000000000002</v>
      </c>
      <c r="I269" s="45">
        <v>4</v>
      </c>
      <c r="J269" s="45">
        <f>'NonPublic Enrollment'!$I269*0.2906</f>
        <v>1.1624000000000001</v>
      </c>
      <c r="K269" s="45">
        <f>'NonPublic Enrollment'!$D269+'NonPublic Enrollment'!$F269+'NonPublic Enrollment'!$H269+'NonPublic Enrollment'!$J269</f>
        <v>727.39739999999995</v>
      </c>
      <c r="L269" s="39" t="s">
        <v>2562</v>
      </c>
    </row>
    <row r="270" spans="1:12">
      <c r="A270" s="36" t="s">
        <v>2561</v>
      </c>
      <c r="B270" s="36" t="str">
        <f>"053116"</f>
        <v>053116</v>
      </c>
      <c r="C270" s="36" t="s">
        <v>2970</v>
      </c>
      <c r="D270" s="44">
        <v>159</v>
      </c>
      <c r="E270" s="44">
        <v>50</v>
      </c>
      <c r="F270" s="44">
        <f>'NonPublic Enrollment'!$E270*0.1</f>
        <v>5</v>
      </c>
      <c r="G270" s="44">
        <v>15</v>
      </c>
      <c r="H270" s="44">
        <f>'NonPublic Enrollment'!$G270*0.7374</f>
        <v>11.061</v>
      </c>
      <c r="I270" s="44">
        <v>4</v>
      </c>
      <c r="J270" s="44">
        <f>'NonPublic Enrollment'!$I270*0.2906</f>
        <v>1.1624000000000001</v>
      </c>
      <c r="K270" s="44">
        <f>'NonPublic Enrollment'!$D270+'NonPublic Enrollment'!$F270+'NonPublic Enrollment'!$H270+'NonPublic Enrollment'!$J270</f>
        <v>176.2234</v>
      </c>
      <c r="L270" s="37" t="s">
        <v>2591</v>
      </c>
    </row>
    <row r="271" spans="1:12">
      <c r="A271" s="38" t="s">
        <v>2561</v>
      </c>
      <c r="B271" s="38" t="str">
        <f>"055160"</f>
        <v>055160</v>
      </c>
      <c r="C271" s="38" t="s">
        <v>2625</v>
      </c>
      <c r="D271" s="45">
        <v>229</v>
      </c>
      <c r="E271" s="45">
        <v>190</v>
      </c>
      <c r="F271" s="45">
        <f>'NonPublic Enrollment'!$E271*0.1</f>
        <v>19</v>
      </c>
      <c r="G271" s="45">
        <v>11</v>
      </c>
      <c r="H271" s="45">
        <f>'NonPublic Enrollment'!$G271*0.7374</f>
        <v>8.1113999999999997</v>
      </c>
      <c r="I271" s="45">
        <v>4</v>
      </c>
      <c r="J271" s="45">
        <f>'NonPublic Enrollment'!$I271*0.2906</f>
        <v>1.1624000000000001</v>
      </c>
      <c r="K271" s="45">
        <f>'NonPublic Enrollment'!$D271+'NonPublic Enrollment'!$F271+'NonPublic Enrollment'!$H271+'NonPublic Enrollment'!$J271</f>
        <v>257.27379999999999</v>
      </c>
      <c r="L271" s="39" t="s">
        <v>2562</v>
      </c>
    </row>
    <row r="272" spans="1:12">
      <c r="A272" s="36" t="s">
        <v>2561</v>
      </c>
      <c r="B272" s="36" t="str">
        <f>"055632"</f>
        <v>055632</v>
      </c>
      <c r="C272" s="36" t="s">
        <v>2969</v>
      </c>
      <c r="D272" s="44">
        <v>146</v>
      </c>
      <c r="E272" s="44">
        <v>61</v>
      </c>
      <c r="F272" s="44">
        <f>'NonPublic Enrollment'!$E272*0.1</f>
        <v>6.1000000000000005</v>
      </c>
      <c r="G272" s="44">
        <v>9</v>
      </c>
      <c r="H272" s="44">
        <f>'NonPublic Enrollment'!$G272*0.7374</f>
        <v>6.6366000000000005</v>
      </c>
      <c r="I272" s="44">
        <v>4</v>
      </c>
      <c r="J272" s="44">
        <f>'NonPublic Enrollment'!$I272*0.2906</f>
        <v>1.1624000000000001</v>
      </c>
      <c r="K272" s="44">
        <f>'NonPublic Enrollment'!$D272+'NonPublic Enrollment'!$F272+'NonPublic Enrollment'!$H272+'NonPublic Enrollment'!$J272</f>
        <v>159.89899999999997</v>
      </c>
      <c r="L272" s="37" t="s">
        <v>2562</v>
      </c>
    </row>
    <row r="273" spans="1:12">
      <c r="A273" s="38" t="s">
        <v>2561</v>
      </c>
      <c r="B273" s="38" t="str">
        <f>"054601"</f>
        <v>054601</v>
      </c>
      <c r="C273" s="38" t="s">
        <v>2968</v>
      </c>
      <c r="D273" s="45">
        <v>189</v>
      </c>
      <c r="E273" s="45">
        <v>117</v>
      </c>
      <c r="F273" s="45">
        <f>'NonPublic Enrollment'!$E273*0.1</f>
        <v>11.700000000000001</v>
      </c>
      <c r="G273" s="45">
        <v>8</v>
      </c>
      <c r="H273" s="45">
        <f>'NonPublic Enrollment'!$G273*0.7374</f>
        <v>5.8992000000000004</v>
      </c>
      <c r="I273" s="45">
        <v>4</v>
      </c>
      <c r="J273" s="45">
        <f>'NonPublic Enrollment'!$I273*0.2906</f>
        <v>1.1624000000000001</v>
      </c>
      <c r="K273" s="45">
        <f>'NonPublic Enrollment'!$D273+'NonPublic Enrollment'!$F273+'NonPublic Enrollment'!$H273+'NonPublic Enrollment'!$J273</f>
        <v>207.76159999999999</v>
      </c>
      <c r="L273" s="39" t="s">
        <v>2562</v>
      </c>
    </row>
    <row r="274" spans="1:12">
      <c r="A274" s="36" t="s">
        <v>2561</v>
      </c>
      <c r="B274" s="36" t="str">
        <f>"053884"</f>
        <v>053884</v>
      </c>
      <c r="C274" s="36" t="s">
        <v>2967</v>
      </c>
      <c r="D274" s="44">
        <v>576</v>
      </c>
      <c r="E274" s="44">
        <v>70</v>
      </c>
      <c r="F274" s="44">
        <f>'NonPublic Enrollment'!$E274*0.1</f>
        <v>7</v>
      </c>
      <c r="G274" s="44">
        <v>39</v>
      </c>
      <c r="H274" s="44">
        <f>'NonPublic Enrollment'!$G274*0.7374</f>
        <v>28.758600000000001</v>
      </c>
      <c r="I274" s="44">
        <v>3</v>
      </c>
      <c r="J274" s="44">
        <f>'NonPublic Enrollment'!$I274*0.2906</f>
        <v>0.87180000000000013</v>
      </c>
      <c r="K274" s="44">
        <f>'NonPublic Enrollment'!$D274+'NonPublic Enrollment'!$F274+'NonPublic Enrollment'!$H274+'NonPublic Enrollment'!$J274</f>
        <v>612.63040000000001</v>
      </c>
      <c r="L274" s="37" t="s">
        <v>2562</v>
      </c>
    </row>
    <row r="275" spans="1:12">
      <c r="A275" s="38" t="s">
        <v>2561</v>
      </c>
      <c r="B275" s="38" t="str">
        <f>"010275"</f>
        <v>010275</v>
      </c>
      <c r="C275" s="38" t="s">
        <v>2966</v>
      </c>
      <c r="D275" s="45">
        <v>245</v>
      </c>
      <c r="E275" s="45">
        <v>112</v>
      </c>
      <c r="F275" s="45">
        <f>'NonPublic Enrollment'!$E275*0.1</f>
        <v>11.200000000000001</v>
      </c>
      <c r="G275" s="45">
        <v>24</v>
      </c>
      <c r="H275" s="45">
        <f>'NonPublic Enrollment'!$G275*0.7374</f>
        <v>17.697600000000001</v>
      </c>
      <c r="I275" s="45">
        <v>3</v>
      </c>
      <c r="J275" s="45">
        <f>'NonPublic Enrollment'!$I275*0.2906</f>
        <v>0.87180000000000013</v>
      </c>
      <c r="K275" s="45">
        <f>'NonPublic Enrollment'!$D275+'NonPublic Enrollment'!$F275+'NonPublic Enrollment'!$H275+'NonPublic Enrollment'!$J275</f>
        <v>274.76940000000002</v>
      </c>
      <c r="L275" s="39" t="s">
        <v>2562</v>
      </c>
    </row>
    <row r="276" spans="1:12">
      <c r="A276" s="36" t="s">
        <v>2561</v>
      </c>
      <c r="B276" s="36" t="str">
        <f>"055947"</f>
        <v>055947</v>
      </c>
      <c r="C276" s="36" t="s">
        <v>2965</v>
      </c>
      <c r="D276" s="44">
        <v>195</v>
      </c>
      <c r="E276" s="44">
        <v>193</v>
      </c>
      <c r="F276" s="44">
        <f>'NonPublic Enrollment'!$E276*0.1</f>
        <v>19.3</v>
      </c>
      <c r="G276" s="44">
        <v>21</v>
      </c>
      <c r="H276" s="44">
        <f>'NonPublic Enrollment'!$G276*0.7374</f>
        <v>15.485400000000002</v>
      </c>
      <c r="I276" s="44">
        <v>3</v>
      </c>
      <c r="J276" s="44">
        <f>'NonPublic Enrollment'!$I276*0.2906</f>
        <v>0.87180000000000013</v>
      </c>
      <c r="K276" s="44">
        <f>'NonPublic Enrollment'!$D276+'NonPublic Enrollment'!$F276+'NonPublic Enrollment'!$H276+'NonPublic Enrollment'!$J276</f>
        <v>230.65720000000002</v>
      </c>
      <c r="L276" s="37" t="s">
        <v>2569</v>
      </c>
    </row>
    <row r="277" spans="1:12">
      <c r="A277" s="38" t="s">
        <v>2561</v>
      </c>
      <c r="B277" s="38" t="str">
        <f>"138073"</f>
        <v>138073</v>
      </c>
      <c r="C277" s="38" t="s">
        <v>2964</v>
      </c>
      <c r="D277" s="45">
        <v>159</v>
      </c>
      <c r="E277" s="45">
        <v>21</v>
      </c>
      <c r="F277" s="45">
        <f>'NonPublic Enrollment'!$E277*0.1</f>
        <v>2.1</v>
      </c>
      <c r="G277" s="45">
        <v>13</v>
      </c>
      <c r="H277" s="45">
        <f>'NonPublic Enrollment'!$G277*0.7374</f>
        <v>9.5862000000000016</v>
      </c>
      <c r="I277" s="45">
        <v>3</v>
      </c>
      <c r="J277" s="45">
        <f>'NonPublic Enrollment'!$I277*0.2906</f>
        <v>0.87180000000000013</v>
      </c>
      <c r="K277" s="45">
        <f>'NonPublic Enrollment'!$D277+'NonPublic Enrollment'!$F277+'NonPublic Enrollment'!$H277+'NonPublic Enrollment'!$J277</f>
        <v>171.55799999999999</v>
      </c>
      <c r="L277" s="39" t="s">
        <v>2562</v>
      </c>
    </row>
    <row r="278" spans="1:12">
      <c r="A278" s="36" t="s">
        <v>2561</v>
      </c>
      <c r="B278" s="36" t="str">
        <f>"057240"</f>
        <v>057240</v>
      </c>
      <c r="C278" s="36" t="s">
        <v>2625</v>
      </c>
      <c r="D278" s="44">
        <v>161</v>
      </c>
      <c r="E278" s="44">
        <v>25</v>
      </c>
      <c r="F278" s="44">
        <f>'NonPublic Enrollment'!$E278*0.1</f>
        <v>2.5</v>
      </c>
      <c r="G278" s="44">
        <v>7</v>
      </c>
      <c r="H278" s="44">
        <f>'NonPublic Enrollment'!$G278*0.7374</f>
        <v>5.1618000000000004</v>
      </c>
      <c r="I278" s="44">
        <v>3</v>
      </c>
      <c r="J278" s="44">
        <f>'NonPublic Enrollment'!$I278*0.2906</f>
        <v>0.87180000000000013</v>
      </c>
      <c r="K278" s="44">
        <f>'NonPublic Enrollment'!$D278+'NonPublic Enrollment'!$F278+'NonPublic Enrollment'!$H278+'NonPublic Enrollment'!$J278</f>
        <v>169.53360000000001</v>
      </c>
      <c r="L278" s="37" t="s">
        <v>2586</v>
      </c>
    </row>
    <row r="279" spans="1:12">
      <c r="A279" s="38" t="s">
        <v>2561</v>
      </c>
      <c r="B279" s="38" t="str">
        <f>"053751"</f>
        <v>053751</v>
      </c>
      <c r="C279" s="38" t="s">
        <v>2963</v>
      </c>
      <c r="D279" s="45">
        <v>525</v>
      </c>
      <c r="E279" s="45">
        <v>138</v>
      </c>
      <c r="F279" s="45">
        <f>'NonPublic Enrollment'!$E279*0.1</f>
        <v>13.8</v>
      </c>
      <c r="G279" s="45">
        <v>56</v>
      </c>
      <c r="H279" s="45">
        <f>'NonPublic Enrollment'!$G279*0.7374</f>
        <v>41.294400000000003</v>
      </c>
      <c r="I279" s="45">
        <v>2</v>
      </c>
      <c r="J279" s="45">
        <f>'NonPublic Enrollment'!$I279*0.2906</f>
        <v>0.58120000000000005</v>
      </c>
      <c r="K279" s="45">
        <f>'NonPublic Enrollment'!$D279+'NonPublic Enrollment'!$F279+'NonPublic Enrollment'!$H279+'NonPublic Enrollment'!$J279</f>
        <v>580.67559999999992</v>
      </c>
      <c r="L279" s="39" t="s">
        <v>2580</v>
      </c>
    </row>
    <row r="280" spans="1:12">
      <c r="A280" s="36" t="s">
        <v>2561</v>
      </c>
      <c r="B280" s="36" t="str">
        <f>"058693"</f>
        <v>058693</v>
      </c>
      <c r="C280" s="36" t="s">
        <v>2962</v>
      </c>
      <c r="D280" s="44">
        <v>320</v>
      </c>
      <c r="E280" s="44">
        <v>283</v>
      </c>
      <c r="F280" s="44">
        <f>'NonPublic Enrollment'!$E280*0.1</f>
        <v>28.3</v>
      </c>
      <c r="G280" s="44">
        <v>48</v>
      </c>
      <c r="H280" s="44">
        <f>'NonPublic Enrollment'!$G280*0.7374</f>
        <v>35.395200000000003</v>
      </c>
      <c r="I280" s="44">
        <v>2</v>
      </c>
      <c r="J280" s="44">
        <f>'NonPublic Enrollment'!$I280*0.2906</f>
        <v>0.58120000000000005</v>
      </c>
      <c r="K280" s="44">
        <f>'NonPublic Enrollment'!$D280+'NonPublic Enrollment'!$F280+'NonPublic Enrollment'!$H280+'NonPublic Enrollment'!$J280</f>
        <v>384.27640000000002</v>
      </c>
      <c r="L280" s="37" t="s">
        <v>2562</v>
      </c>
    </row>
    <row r="281" spans="1:12">
      <c r="A281" s="38" t="s">
        <v>2561</v>
      </c>
      <c r="B281" s="38" t="str">
        <f>"062620"</f>
        <v>062620</v>
      </c>
      <c r="C281" s="38" t="s">
        <v>2961</v>
      </c>
      <c r="D281" s="45">
        <v>212</v>
      </c>
      <c r="E281" s="45">
        <v>60</v>
      </c>
      <c r="F281" s="45">
        <f>'NonPublic Enrollment'!$E281*0.1</f>
        <v>6</v>
      </c>
      <c r="G281" s="45">
        <v>47</v>
      </c>
      <c r="H281" s="45">
        <f>'NonPublic Enrollment'!$G281*0.7374</f>
        <v>34.657800000000002</v>
      </c>
      <c r="I281" s="45">
        <v>2</v>
      </c>
      <c r="J281" s="45">
        <f>'NonPublic Enrollment'!$I281*0.2906</f>
        <v>0.58120000000000005</v>
      </c>
      <c r="K281" s="45">
        <f>'NonPublic Enrollment'!$D281+'NonPublic Enrollment'!$F281+'NonPublic Enrollment'!$H281+'NonPublic Enrollment'!$J281</f>
        <v>253.239</v>
      </c>
      <c r="L281" s="39" t="s">
        <v>2562</v>
      </c>
    </row>
    <row r="282" spans="1:12">
      <c r="A282" s="36" t="s">
        <v>2561</v>
      </c>
      <c r="B282" s="36" t="str">
        <f>"057695"</f>
        <v>057695</v>
      </c>
      <c r="C282" s="36" t="s">
        <v>2892</v>
      </c>
      <c r="D282" s="44">
        <v>317</v>
      </c>
      <c r="E282" s="44">
        <v>73</v>
      </c>
      <c r="F282" s="44">
        <f>'NonPublic Enrollment'!$E282*0.1</f>
        <v>7.3000000000000007</v>
      </c>
      <c r="G282" s="44">
        <v>45</v>
      </c>
      <c r="H282" s="44">
        <f>'NonPublic Enrollment'!$G282*0.7374</f>
        <v>33.183</v>
      </c>
      <c r="I282" s="44">
        <v>2</v>
      </c>
      <c r="J282" s="44">
        <f>'NonPublic Enrollment'!$I282*0.2906</f>
        <v>0.58120000000000005</v>
      </c>
      <c r="K282" s="44">
        <f>'NonPublic Enrollment'!$D282+'NonPublic Enrollment'!$F282+'NonPublic Enrollment'!$H282+'NonPublic Enrollment'!$J282</f>
        <v>358.06420000000003</v>
      </c>
      <c r="L282" s="37" t="s">
        <v>2591</v>
      </c>
    </row>
    <row r="283" spans="1:12">
      <c r="A283" s="38" t="s">
        <v>2561</v>
      </c>
      <c r="B283" s="38" t="str">
        <f>"055913"</f>
        <v>055913</v>
      </c>
      <c r="C283" s="38" t="s">
        <v>2960</v>
      </c>
      <c r="D283" s="45">
        <v>409</v>
      </c>
      <c r="E283" s="45">
        <v>409</v>
      </c>
      <c r="F283" s="45">
        <f>'NonPublic Enrollment'!$E283*0.1</f>
        <v>40.900000000000006</v>
      </c>
      <c r="G283" s="45">
        <v>40</v>
      </c>
      <c r="H283" s="45">
        <f>'NonPublic Enrollment'!$G283*0.7374</f>
        <v>29.496000000000002</v>
      </c>
      <c r="I283" s="45">
        <v>2</v>
      </c>
      <c r="J283" s="45">
        <f>'NonPublic Enrollment'!$I283*0.2906</f>
        <v>0.58120000000000005</v>
      </c>
      <c r="K283" s="45">
        <f>'NonPublic Enrollment'!$D283+'NonPublic Enrollment'!$F283+'NonPublic Enrollment'!$H283+'NonPublic Enrollment'!$J283</f>
        <v>479.97719999999998</v>
      </c>
      <c r="L283" s="39" t="s">
        <v>2569</v>
      </c>
    </row>
    <row r="284" spans="1:12">
      <c r="A284" s="36" t="s">
        <v>2561</v>
      </c>
      <c r="B284" s="36" t="str">
        <f>"058115"</f>
        <v>058115</v>
      </c>
      <c r="C284" s="36" t="s">
        <v>2867</v>
      </c>
      <c r="D284" s="44">
        <v>763</v>
      </c>
      <c r="E284" s="44">
        <v>31</v>
      </c>
      <c r="F284" s="44">
        <f>'NonPublic Enrollment'!$E284*0.1</f>
        <v>3.1</v>
      </c>
      <c r="G284" s="44">
        <v>34</v>
      </c>
      <c r="H284" s="44">
        <f>'NonPublic Enrollment'!$G284*0.7374</f>
        <v>25.071600000000004</v>
      </c>
      <c r="I284" s="44">
        <v>2</v>
      </c>
      <c r="J284" s="44">
        <f>'NonPublic Enrollment'!$I284*0.2906</f>
        <v>0.58120000000000005</v>
      </c>
      <c r="K284" s="44">
        <f>'NonPublic Enrollment'!$D284+'NonPublic Enrollment'!$F284+'NonPublic Enrollment'!$H284+'NonPublic Enrollment'!$J284</f>
        <v>791.75279999999998</v>
      </c>
      <c r="L284" s="37" t="s">
        <v>2591</v>
      </c>
    </row>
    <row r="285" spans="1:12">
      <c r="A285" s="38" t="s">
        <v>2561</v>
      </c>
      <c r="B285" s="38" t="str">
        <f>"065730"</f>
        <v>065730</v>
      </c>
      <c r="C285" s="38" t="s">
        <v>2959</v>
      </c>
      <c r="D285" s="45">
        <v>134</v>
      </c>
      <c r="E285" s="45">
        <v>8</v>
      </c>
      <c r="F285" s="45">
        <f>'NonPublic Enrollment'!$E285*0.1</f>
        <v>0.8</v>
      </c>
      <c r="G285" s="45">
        <v>31</v>
      </c>
      <c r="H285" s="45">
        <f>'NonPublic Enrollment'!$G285*0.7374</f>
        <v>22.859400000000001</v>
      </c>
      <c r="I285" s="45">
        <v>2</v>
      </c>
      <c r="J285" s="45">
        <f>'NonPublic Enrollment'!$I285*0.2906</f>
        <v>0.58120000000000005</v>
      </c>
      <c r="K285" s="45">
        <f>'NonPublic Enrollment'!$D285+'NonPublic Enrollment'!$F285+'NonPublic Enrollment'!$H285+'NonPublic Enrollment'!$J285</f>
        <v>158.2406</v>
      </c>
      <c r="L285" s="39" t="s">
        <v>2562</v>
      </c>
    </row>
    <row r="286" spans="1:12">
      <c r="A286" s="36" t="s">
        <v>2561</v>
      </c>
      <c r="B286" s="36" t="str">
        <f>"056283"</f>
        <v>056283</v>
      </c>
      <c r="C286" s="36" t="s">
        <v>2907</v>
      </c>
      <c r="D286" s="44">
        <v>191</v>
      </c>
      <c r="E286" s="44">
        <v>137</v>
      </c>
      <c r="F286" s="44">
        <f>'NonPublic Enrollment'!$E286*0.1</f>
        <v>13.700000000000001</v>
      </c>
      <c r="G286" s="44">
        <v>22</v>
      </c>
      <c r="H286" s="44">
        <f>'NonPublic Enrollment'!$G286*0.7374</f>
        <v>16.222799999999999</v>
      </c>
      <c r="I286" s="44">
        <v>2</v>
      </c>
      <c r="J286" s="44">
        <f>'NonPublic Enrollment'!$I286*0.2906</f>
        <v>0.58120000000000005</v>
      </c>
      <c r="K286" s="44">
        <f>'NonPublic Enrollment'!$D286+'NonPublic Enrollment'!$F286+'NonPublic Enrollment'!$H286+'NonPublic Enrollment'!$J286</f>
        <v>221.50399999999999</v>
      </c>
      <c r="L286" s="37" t="s">
        <v>2562</v>
      </c>
    </row>
    <row r="287" spans="1:12">
      <c r="A287" s="38" t="s">
        <v>2561</v>
      </c>
      <c r="B287" s="38" t="str">
        <f>"134478"</f>
        <v>134478</v>
      </c>
      <c r="C287" s="38" t="s">
        <v>2958</v>
      </c>
      <c r="D287" s="45">
        <v>68</v>
      </c>
      <c r="E287" s="45">
        <v>29</v>
      </c>
      <c r="F287" s="45">
        <f>'NonPublic Enrollment'!$E287*0.1</f>
        <v>2.9000000000000004</v>
      </c>
      <c r="G287" s="45">
        <v>17</v>
      </c>
      <c r="H287" s="45">
        <f>'NonPublic Enrollment'!$G287*0.7374</f>
        <v>12.535800000000002</v>
      </c>
      <c r="I287" s="45">
        <v>2</v>
      </c>
      <c r="J287" s="45">
        <f>'NonPublic Enrollment'!$I287*0.2906</f>
        <v>0.58120000000000005</v>
      </c>
      <c r="K287" s="45">
        <f>'NonPublic Enrollment'!$D287+'NonPublic Enrollment'!$F287+'NonPublic Enrollment'!$H287+'NonPublic Enrollment'!$J287</f>
        <v>84.016999999999996</v>
      </c>
      <c r="L287" s="39" t="s">
        <v>2562</v>
      </c>
    </row>
    <row r="288" spans="1:12">
      <c r="A288" s="36" t="s">
        <v>2561</v>
      </c>
      <c r="B288" s="36" t="str">
        <f>"068189"</f>
        <v>068189</v>
      </c>
      <c r="C288" s="36" t="s">
        <v>2957</v>
      </c>
      <c r="D288" s="44">
        <v>155</v>
      </c>
      <c r="E288" s="44">
        <v>169</v>
      </c>
      <c r="F288" s="44">
        <f>'NonPublic Enrollment'!$E288*0.1</f>
        <v>16.900000000000002</v>
      </c>
      <c r="G288" s="44">
        <v>14</v>
      </c>
      <c r="H288" s="44">
        <f>'NonPublic Enrollment'!$G288*0.7374</f>
        <v>10.323600000000001</v>
      </c>
      <c r="I288" s="44">
        <v>2</v>
      </c>
      <c r="J288" s="44">
        <f>'NonPublic Enrollment'!$I288*0.2906</f>
        <v>0.58120000000000005</v>
      </c>
      <c r="K288" s="44">
        <f>'NonPublic Enrollment'!$D288+'NonPublic Enrollment'!$F288+'NonPublic Enrollment'!$H288+'NonPublic Enrollment'!$J288</f>
        <v>182.8048</v>
      </c>
      <c r="L288" s="37" t="s">
        <v>2562</v>
      </c>
    </row>
    <row r="289" spans="1:12">
      <c r="A289" s="38" t="s">
        <v>2561</v>
      </c>
      <c r="B289" s="38" t="str">
        <f>"058214"</f>
        <v>058214</v>
      </c>
      <c r="C289" s="38" t="s">
        <v>2799</v>
      </c>
      <c r="D289" s="45">
        <v>153</v>
      </c>
      <c r="E289" s="45">
        <v>28</v>
      </c>
      <c r="F289" s="45">
        <f>'NonPublic Enrollment'!$E289*0.1</f>
        <v>2.8000000000000003</v>
      </c>
      <c r="G289" s="45">
        <v>13</v>
      </c>
      <c r="H289" s="45">
        <f>'NonPublic Enrollment'!$G289*0.7374</f>
        <v>9.5862000000000016</v>
      </c>
      <c r="I289" s="45">
        <v>2</v>
      </c>
      <c r="J289" s="45">
        <f>'NonPublic Enrollment'!$I289*0.2906</f>
        <v>0.58120000000000005</v>
      </c>
      <c r="K289" s="45">
        <f>'NonPublic Enrollment'!$D289+'NonPublic Enrollment'!$F289+'NonPublic Enrollment'!$H289+'NonPublic Enrollment'!$J289</f>
        <v>165.9674</v>
      </c>
      <c r="L289" s="39" t="s">
        <v>2562</v>
      </c>
    </row>
    <row r="290" spans="1:12">
      <c r="A290" s="36" t="s">
        <v>2561</v>
      </c>
      <c r="B290" s="36" t="str">
        <f>"058107"</f>
        <v>058107</v>
      </c>
      <c r="C290" s="36" t="s">
        <v>2702</v>
      </c>
      <c r="D290" s="44">
        <v>130</v>
      </c>
      <c r="E290" s="44">
        <v>4</v>
      </c>
      <c r="F290" s="44">
        <f>'NonPublic Enrollment'!$E290*0.1</f>
        <v>0.4</v>
      </c>
      <c r="G290" s="44">
        <v>10</v>
      </c>
      <c r="H290" s="44">
        <f>'NonPublic Enrollment'!$G290*0.7374</f>
        <v>7.3740000000000006</v>
      </c>
      <c r="I290" s="44">
        <v>2</v>
      </c>
      <c r="J290" s="44">
        <f>'NonPublic Enrollment'!$I290*0.2906</f>
        <v>0.58120000000000005</v>
      </c>
      <c r="K290" s="44">
        <f>'NonPublic Enrollment'!$D290+'NonPublic Enrollment'!$F290+'NonPublic Enrollment'!$H290+'NonPublic Enrollment'!$J290</f>
        <v>138.3552</v>
      </c>
      <c r="L290" s="37" t="s">
        <v>2591</v>
      </c>
    </row>
    <row r="291" spans="1:12">
      <c r="A291" s="38" t="s">
        <v>2561</v>
      </c>
      <c r="B291" s="38" t="str">
        <f>"056358"</f>
        <v>056358</v>
      </c>
      <c r="C291" s="38" t="s">
        <v>2956</v>
      </c>
      <c r="D291" s="45">
        <v>160</v>
      </c>
      <c r="E291" s="45">
        <v>114</v>
      </c>
      <c r="F291" s="45">
        <f>'NonPublic Enrollment'!$E291*0.1</f>
        <v>11.4</v>
      </c>
      <c r="G291" s="45">
        <v>8</v>
      </c>
      <c r="H291" s="45">
        <f>'NonPublic Enrollment'!$G291*0.7374</f>
        <v>5.8992000000000004</v>
      </c>
      <c r="I291" s="45">
        <v>2</v>
      </c>
      <c r="J291" s="45">
        <f>'NonPublic Enrollment'!$I291*0.2906</f>
        <v>0.58120000000000005</v>
      </c>
      <c r="K291" s="45">
        <f>'NonPublic Enrollment'!$D291+'NonPublic Enrollment'!$F291+'NonPublic Enrollment'!$H291+'NonPublic Enrollment'!$J291</f>
        <v>177.88040000000001</v>
      </c>
      <c r="L291" s="39" t="s">
        <v>2569</v>
      </c>
    </row>
    <row r="292" spans="1:12">
      <c r="A292" s="36" t="s">
        <v>2561</v>
      </c>
      <c r="B292" s="36" t="str">
        <f>"058024"</f>
        <v>058024</v>
      </c>
      <c r="C292" s="36" t="s">
        <v>2689</v>
      </c>
      <c r="D292" s="44">
        <v>190</v>
      </c>
      <c r="E292" s="44">
        <v>17</v>
      </c>
      <c r="F292" s="44">
        <f>'NonPublic Enrollment'!$E292*0.1</f>
        <v>1.7000000000000002</v>
      </c>
      <c r="G292" s="44">
        <v>7</v>
      </c>
      <c r="H292" s="44">
        <f>'NonPublic Enrollment'!$G292*0.7374</f>
        <v>5.1618000000000004</v>
      </c>
      <c r="I292" s="44">
        <v>2</v>
      </c>
      <c r="J292" s="44">
        <f>'NonPublic Enrollment'!$I292*0.2906</f>
        <v>0.58120000000000005</v>
      </c>
      <c r="K292" s="44">
        <f>'NonPublic Enrollment'!$D292+'NonPublic Enrollment'!$F292+'NonPublic Enrollment'!$H292+'NonPublic Enrollment'!$J292</f>
        <v>197.44299999999998</v>
      </c>
      <c r="L292" s="37" t="s">
        <v>2562</v>
      </c>
    </row>
    <row r="293" spans="1:12">
      <c r="A293" s="38" t="s">
        <v>2561</v>
      </c>
      <c r="B293" s="38" t="str">
        <f>"056747"</f>
        <v>056747</v>
      </c>
      <c r="C293" s="38" t="s">
        <v>2757</v>
      </c>
      <c r="D293" s="45">
        <v>238</v>
      </c>
      <c r="E293" s="45">
        <v>28</v>
      </c>
      <c r="F293" s="45">
        <f>'NonPublic Enrollment'!$E293*0.1</f>
        <v>2.8000000000000003</v>
      </c>
      <c r="G293" s="45">
        <v>6</v>
      </c>
      <c r="H293" s="45">
        <f>'NonPublic Enrollment'!$G293*0.7374</f>
        <v>4.4244000000000003</v>
      </c>
      <c r="I293" s="45">
        <v>2</v>
      </c>
      <c r="J293" s="45">
        <f>'NonPublic Enrollment'!$I293*0.2906</f>
        <v>0.58120000000000005</v>
      </c>
      <c r="K293" s="45">
        <f>'NonPublic Enrollment'!$D293+'NonPublic Enrollment'!$F293+'NonPublic Enrollment'!$H293+'NonPublic Enrollment'!$J293</f>
        <v>245.8056</v>
      </c>
      <c r="L293" s="39" t="s">
        <v>2586</v>
      </c>
    </row>
    <row r="294" spans="1:12">
      <c r="A294" s="36" t="s">
        <v>2561</v>
      </c>
      <c r="B294" s="36" t="str">
        <f>"059691"</f>
        <v>059691</v>
      </c>
      <c r="C294" s="36" t="s">
        <v>2756</v>
      </c>
      <c r="D294" s="44">
        <v>344</v>
      </c>
      <c r="E294" s="44">
        <v>64</v>
      </c>
      <c r="F294" s="44">
        <f>'NonPublic Enrollment'!$E294*0.1</f>
        <v>6.4</v>
      </c>
      <c r="G294" s="44">
        <v>43</v>
      </c>
      <c r="H294" s="44">
        <f>'NonPublic Enrollment'!$G294*0.7374</f>
        <v>31.708200000000001</v>
      </c>
      <c r="I294" s="44">
        <v>1</v>
      </c>
      <c r="J294" s="44">
        <f>'NonPublic Enrollment'!$I294*0.2906</f>
        <v>0.29060000000000002</v>
      </c>
      <c r="K294" s="44">
        <f>'NonPublic Enrollment'!$D294+'NonPublic Enrollment'!$F294+'NonPublic Enrollment'!$H294+'NonPublic Enrollment'!$J294</f>
        <v>382.39879999999994</v>
      </c>
      <c r="L294" s="37" t="s">
        <v>2591</v>
      </c>
    </row>
    <row r="295" spans="1:12">
      <c r="A295" s="38" t="s">
        <v>2561</v>
      </c>
      <c r="B295" s="38" t="str">
        <f>"055418"</f>
        <v>055418</v>
      </c>
      <c r="C295" s="38" t="s">
        <v>2756</v>
      </c>
      <c r="D295" s="45">
        <v>421</v>
      </c>
      <c r="E295" s="45">
        <v>13</v>
      </c>
      <c r="F295" s="45">
        <f>'NonPublic Enrollment'!$E295*0.1</f>
        <v>1.3</v>
      </c>
      <c r="G295" s="45">
        <v>25</v>
      </c>
      <c r="H295" s="45">
        <f>'NonPublic Enrollment'!$G295*0.7374</f>
        <v>18.435000000000002</v>
      </c>
      <c r="I295" s="45">
        <v>1</v>
      </c>
      <c r="J295" s="45">
        <f>'NonPublic Enrollment'!$I295*0.2906</f>
        <v>0.29060000000000002</v>
      </c>
      <c r="K295" s="45">
        <f>'NonPublic Enrollment'!$D295+'NonPublic Enrollment'!$F295+'NonPublic Enrollment'!$H295+'NonPublic Enrollment'!$J295</f>
        <v>441.0256</v>
      </c>
      <c r="L295" s="39" t="s">
        <v>2591</v>
      </c>
    </row>
    <row r="296" spans="1:12">
      <c r="A296" s="36" t="s">
        <v>2561</v>
      </c>
      <c r="B296" s="36" t="str">
        <f>"067447"</f>
        <v>067447</v>
      </c>
      <c r="C296" s="36" t="s">
        <v>2955</v>
      </c>
      <c r="D296" s="44">
        <v>202</v>
      </c>
      <c r="E296" s="44">
        <v>23</v>
      </c>
      <c r="F296" s="44">
        <f>'NonPublic Enrollment'!$E296*0.1</f>
        <v>2.3000000000000003</v>
      </c>
      <c r="G296" s="44">
        <v>24</v>
      </c>
      <c r="H296" s="44">
        <f>'NonPublic Enrollment'!$G296*0.7374</f>
        <v>17.697600000000001</v>
      </c>
      <c r="I296" s="44">
        <v>1</v>
      </c>
      <c r="J296" s="44">
        <f>'NonPublic Enrollment'!$I296*0.2906</f>
        <v>0.29060000000000002</v>
      </c>
      <c r="K296" s="44">
        <f>'NonPublic Enrollment'!$D296+'NonPublic Enrollment'!$F296+'NonPublic Enrollment'!$H296+'NonPublic Enrollment'!$J296</f>
        <v>222.28820000000002</v>
      </c>
      <c r="L296" s="37" t="s">
        <v>2562</v>
      </c>
    </row>
    <row r="297" spans="1:12">
      <c r="A297" s="38" t="s">
        <v>2561</v>
      </c>
      <c r="B297" s="38" t="str">
        <f>"057208"</f>
        <v>057208</v>
      </c>
      <c r="C297" s="38" t="s">
        <v>2954</v>
      </c>
      <c r="D297" s="45">
        <v>475</v>
      </c>
      <c r="E297" s="45">
        <v>27</v>
      </c>
      <c r="F297" s="45">
        <f>'NonPublic Enrollment'!$E297*0.1</f>
        <v>2.7</v>
      </c>
      <c r="G297" s="45">
        <v>20</v>
      </c>
      <c r="H297" s="45">
        <f>'NonPublic Enrollment'!$G297*0.7374</f>
        <v>14.748000000000001</v>
      </c>
      <c r="I297" s="45">
        <v>1</v>
      </c>
      <c r="J297" s="45">
        <f>'NonPublic Enrollment'!$I297*0.2906</f>
        <v>0.29060000000000002</v>
      </c>
      <c r="K297" s="45">
        <f>'NonPublic Enrollment'!$D297+'NonPublic Enrollment'!$F297+'NonPublic Enrollment'!$H297+'NonPublic Enrollment'!$J297</f>
        <v>492.73859999999996</v>
      </c>
      <c r="L297" s="39" t="s">
        <v>2580</v>
      </c>
    </row>
    <row r="298" spans="1:12">
      <c r="A298" s="36" t="s">
        <v>2561</v>
      </c>
      <c r="B298" s="36" t="str">
        <f>"059881"</f>
        <v>059881</v>
      </c>
      <c r="C298" s="36" t="s">
        <v>2689</v>
      </c>
      <c r="D298" s="44">
        <v>177</v>
      </c>
      <c r="E298" s="44">
        <v>95</v>
      </c>
      <c r="F298" s="44">
        <f>'NonPublic Enrollment'!$E298*0.1</f>
        <v>9.5</v>
      </c>
      <c r="G298" s="44">
        <v>18</v>
      </c>
      <c r="H298" s="44">
        <f>'NonPublic Enrollment'!$G298*0.7374</f>
        <v>13.273200000000001</v>
      </c>
      <c r="I298" s="44">
        <v>1</v>
      </c>
      <c r="J298" s="44">
        <f>'NonPublic Enrollment'!$I298*0.2906</f>
        <v>0.29060000000000002</v>
      </c>
      <c r="K298" s="44">
        <f>'NonPublic Enrollment'!$D298+'NonPublic Enrollment'!$F298+'NonPublic Enrollment'!$H298+'NonPublic Enrollment'!$J298</f>
        <v>200.06380000000001</v>
      </c>
      <c r="L298" s="37" t="s">
        <v>2580</v>
      </c>
    </row>
    <row r="299" spans="1:12">
      <c r="A299" s="38" t="s">
        <v>2561</v>
      </c>
      <c r="B299" s="38" t="str">
        <f>"086546"</f>
        <v>086546</v>
      </c>
      <c r="C299" s="38" t="s">
        <v>2953</v>
      </c>
      <c r="D299" s="45">
        <v>107</v>
      </c>
      <c r="E299" s="45">
        <v>28</v>
      </c>
      <c r="F299" s="45">
        <f>'NonPublic Enrollment'!$E299*0.1</f>
        <v>2.8000000000000003</v>
      </c>
      <c r="G299" s="45">
        <v>17</v>
      </c>
      <c r="H299" s="45">
        <f>'NonPublic Enrollment'!$G299*0.7374</f>
        <v>12.535800000000002</v>
      </c>
      <c r="I299" s="45">
        <v>1</v>
      </c>
      <c r="J299" s="45">
        <f>'NonPublic Enrollment'!$I299*0.2906</f>
        <v>0.29060000000000002</v>
      </c>
      <c r="K299" s="45">
        <f>'NonPublic Enrollment'!$D299+'NonPublic Enrollment'!$F299+'NonPublic Enrollment'!$H299+'NonPublic Enrollment'!$J299</f>
        <v>122.6264</v>
      </c>
      <c r="L299" s="39" t="s">
        <v>2562</v>
      </c>
    </row>
    <row r="300" spans="1:12">
      <c r="A300" s="36" t="s">
        <v>2561</v>
      </c>
      <c r="B300" s="36" t="str">
        <f>"054916"</f>
        <v>054916</v>
      </c>
      <c r="C300" s="36" t="s">
        <v>2835</v>
      </c>
      <c r="D300" s="44">
        <v>398</v>
      </c>
      <c r="E300" s="44">
        <v>65</v>
      </c>
      <c r="F300" s="44">
        <f>'NonPublic Enrollment'!$E300*0.1</f>
        <v>6.5</v>
      </c>
      <c r="G300" s="44">
        <v>15</v>
      </c>
      <c r="H300" s="44">
        <f>'NonPublic Enrollment'!$G300*0.7374</f>
        <v>11.061</v>
      </c>
      <c r="I300" s="44">
        <v>1</v>
      </c>
      <c r="J300" s="44">
        <f>'NonPublic Enrollment'!$I300*0.2906</f>
        <v>0.29060000000000002</v>
      </c>
      <c r="K300" s="44">
        <f>'NonPublic Enrollment'!$D300+'NonPublic Enrollment'!$F300+'NonPublic Enrollment'!$H300+'NonPublic Enrollment'!$J300</f>
        <v>415.85159999999996</v>
      </c>
      <c r="L300" s="37" t="s">
        <v>2591</v>
      </c>
    </row>
    <row r="301" spans="1:12">
      <c r="A301" s="38" t="s">
        <v>2561</v>
      </c>
      <c r="B301" s="38" t="str">
        <f>"056143"</f>
        <v>056143</v>
      </c>
      <c r="C301" s="38" t="s">
        <v>2952</v>
      </c>
      <c r="D301" s="45">
        <v>407</v>
      </c>
      <c r="E301" s="45">
        <v>79</v>
      </c>
      <c r="F301" s="45">
        <f>'NonPublic Enrollment'!$E301*0.1</f>
        <v>7.9</v>
      </c>
      <c r="G301" s="45">
        <v>15</v>
      </c>
      <c r="H301" s="45">
        <f>'NonPublic Enrollment'!$G301*0.7374</f>
        <v>11.061</v>
      </c>
      <c r="I301" s="45">
        <v>1</v>
      </c>
      <c r="J301" s="45">
        <f>'NonPublic Enrollment'!$I301*0.2906</f>
        <v>0.29060000000000002</v>
      </c>
      <c r="K301" s="45">
        <f>'NonPublic Enrollment'!$D301+'NonPublic Enrollment'!$F301+'NonPublic Enrollment'!$H301+'NonPublic Enrollment'!$J301</f>
        <v>426.25159999999994</v>
      </c>
      <c r="L301" s="39" t="s">
        <v>2569</v>
      </c>
    </row>
    <row r="302" spans="1:12">
      <c r="A302" s="36" t="s">
        <v>2561</v>
      </c>
      <c r="B302" s="36" t="str">
        <f>"056739"</f>
        <v>056739</v>
      </c>
      <c r="C302" s="36" t="s">
        <v>2734</v>
      </c>
      <c r="D302" s="44">
        <v>199</v>
      </c>
      <c r="E302" s="44">
        <v>65</v>
      </c>
      <c r="F302" s="44">
        <f>'NonPublic Enrollment'!$E302*0.1</f>
        <v>6.5</v>
      </c>
      <c r="G302" s="44">
        <v>13</v>
      </c>
      <c r="H302" s="44">
        <f>'NonPublic Enrollment'!$G302*0.7374</f>
        <v>9.5862000000000016</v>
      </c>
      <c r="I302" s="44">
        <v>1</v>
      </c>
      <c r="J302" s="44">
        <f>'NonPublic Enrollment'!$I302*0.2906</f>
        <v>0.29060000000000002</v>
      </c>
      <c r="K302" s="44">
        <f>'NonPublic Enrollment'!$D302+'NonPublic Enrollment'!$F302+'NonPublic Enrollment'!$H302+'NonPublic Enrollment'!$J302</f>
        <v>215.3768</v>
      </c>
      <c r="L302" s="37" t="s">
        <v>2562</v>
      </c>
    </row>
    <row r="303" spans="1:12">
      <c r="A303" s="38" t="s">
        <v>2561</v>
      </c>
      <c r="B303" s="38" t="str">
        <f>"059071"</f>
        <v>059071</v>
      </c>
      <c r="C303" s="38" t="s">
        <v>2625</v>
      </c>
      <c r="D303" s="45">
        <v>71</v>
      </c>
      <c r="E303" s="45">
        <v>18</v>
      </c>
      <c r="F303" s="45">
        <f>'NonPublic Enrollment'!$E303*0.1</f>
        <v>1.8</v>
      </c>
      <c r="G303" s="45">
        <v>6</v>
      </c>
      <c r="H303" s="45">
        <f>'NonPublic Enrollment'!$G303*0.7374</f>
        <v>4.4244000000000003</v>
      </c>
      <c r="I303" s="45">
        <v>1</v>
      </c>
      <c r="J303" s="45">
        <f>'NonPublic Enrollment'!$I303*0.2906</f>
        <v>0.29060000000000002</v>
      </c>
      <c r="K303" s="45">
        <f>'NonPublic Enrollment'!$D303+'NonPublic Enrollment'!$F303+'NonPublic Enrollment'!$H303+'NonPublic Enrollment'!$J303</f>
        <v>77.515000000000001</v>
      </c>
      <c r="L303" s="39" t="s">
        <v>2591</v>
      </c>
    </row>
    <row r="304" spans="1:12">
      <c r="A304" s="36" t="s">
        <v>2561</v>
      </c>
      <c r="B304" s="36" t="str">
        <f>"110031"</f>
        <v>110031</v>
      </c>
      <c r="C304" s="36" t="s">
        <v>2951</v>
      </c>
      <c r="D304" s="44">
        <v>116</v>
      </c>
      <c r="E304" s="44">
        <v>33</v>
      </c>
      <c r="F304" s="44">
        <f>'NonPublic Enrollment'!$E304*0.1</f>
        <v>3.3000000000000003</v>
      </c>
      <c r="G304" s="44">
        <v>6</v>
      </c>
      <c r="H304" s="44">
        <f>'NonPublic Enrollment'!$G304*0.7374</f>
        <v>4.4244000000000003</v>
      </c>
      <c r="I304" s="44">
        <v>1</v>
      </c>
      <c r="J304" s="44">
        <f>'NonPublic Enrollment'!$I304*0.2906</f>
        <v>0.29060000000000002</v>
      </c>
      <c r="K304" s="44">
        <f>'NonPublic Enrollment'!$D304+'NonPublic Enrollment'!$F304+'NonPublic Enrollment'!$H304+'NonPublic Enrollment'!$J304</f>
        <v>124.015</v>
      </c>
      <c r="L304" s="37" t="s">
        <v>2582</v>
      </c>
    </row>
    <row r="305" spans="1:12">
      <c r="A305" s="38" t="s">
        <v>2561</v>
      </c>
      <c r="B305" s="38" t="str">
        <f>"000152"</f>
        <v>000152</v>
      </c>
      <c r="C305" s="38" t="s">
        <v>2950</v>
      </c>
      <c r="D305" s="45">
        <v>0</v>
      </c>
      <c r="E305" s="45">
        <v>0</v>
      </c>
      <c r="F305" s="45">
        <f>'NonPublic Enrollment'!$E305*0.1</f>
        <v>0</v>
      </c>
      <c r="G305" s="45">
        <v>0</v>
      </c>
      <c r="H305" s="45">
        <f>'NonPublic Enrollment'!$G305*0.7374</f>
        <v>0</v>
      </c>
      <c r="I305" s="45">
        <v>0</v>
      </c>
      <c r="J305" s="45">
        <f>'NonPublic Enrollment'!$I305*0.2906</f>
        <v>0</v>
      </c>
      <c r="K305" s="45">
        <f>'NonPublic Enrollment'!$D305+'NonPublic Enrollment'!$F305+'NonPublic Enrollment'!$H305+'NonPublic Enrollment'!$J305</f>
        <v>0</v>
      </c>
      <c r="L305" s="39" t="s">
        <v>2949</v>
      </c>
    </row>
    <row r="306" spans="1:12">
      <c r="A306" s="36" t="s">
        <v>2561</v>
      </c>
      <c r="B306" s="36" t="str">
        <f>"132878"</f>
        <v>132878</v>
      </c>
      <c r="C306" s="36" t="s">
        <v>2948</v>
      </c>
      <c r="D306" s="44">
        <v>151</v>
      </c>
      <c r="E306" s="44">
        <v>132</v>
      </c>
      <c r="F306" s="44">
        <f>'NonPublic Enrollment'!$E306*0.1</f>
        <v>13.200000000000001</v>
      </c>
      <c r="G306" s="44">
        <v>154</v>
      </c>
      <c r="H306" s="44">
        <f>'NonPublic Enrollment'!$G306*0.7374</f>
        <v>113.5596</v>
      </c>
      <c r="I306" s="44">
        <v>0</v>
      </c>
      <c r="J306" s="44">
        <f>'NonPublic Enrollment'!$I306*0.2906</f>
        <v>0</v>
      </c>
      <c r="K306" s="44">
        <f>'NonPublic Enrollment'!$D306+'NonPublic Enrollment'!$F306+'NonPublic Enrollment'!$H306+'NonPublic Enrollment'!$J306</f>
        <v>277.75959999999998</v>
      </c>
      <c r="L306" s="37" t="s">
        <v>2562</v>
      </c>
    </row>
    <row r="307" spans="1:12">
      <c r="A307" s="38" t="s">
        <v>2561</v>
      </c>
      <c r="B307" s="38" t="str">
        <f>"056911"</f>
        <v>056911</v>
      </c>
      <c r="C307" s="38" t="s">
        <v>2947</v>
      </c>
      <c r="D307" s="45">
        <v>128</v>
      </c>
      <c r="E307" s="45">
        <v>15</v>
      </c>
      <c r="F307" s="45">
        <f>'NonPublic Enrollment'!$E307*0.1</f>
        <v>1.5</v>
      </c>
      <c r="G307" s="45">
        <v>129</v>
      </c>
      <c r="H307" s="45">
        <f>'NonPublic Enrollment'!$G307*0.7374</f>
        <v>95.124600000000001</v>
      </c>
      <c r="I307" s="45">
        <v>0</v>
      </c>
      <c r="J307" s="45">
        <f>'NonPublic Enrollment'!$I307*0.2906</f>
        <v>0</v>
      </c>
      <c r="K307" s="45">
        <f>'NonPublic Enrollment'!$D307+'NonPublic Enrollment'!$F307+'NonPublic Enrollment'!$H307+'NonPublic Enrollment'!$J307</f>
        <v>224.62459999999999</v>
      </c>
      <c r="L307" s="39" t="s">
        <v>2569</v>
      </c>
    </row>
    <row r="308" spans="1:12">
      <c r="A308" s="36" t="s">
        <v>2561</v>
      </c>
      <c r="B308" s="36" t="str">
        <f>"054726"</f>
        <v>054726</v>
      </c>
      <c r="C308" s="36" t="s">
        <v>2946</v>
      </c>
      <c r="D308" s="44">
        <v>116</v>
      </c>
      <c r="E308" s="44">
        <v>124</v>
      </c>
      <c r="F308" s="44">
        <f>'NonPublic Enrollment'!$E308*0.1</f>
        <v>12.4</v>
      </c>
      <c r="G308" s="44">
        <v>124</v>
      </c>
      <c r="H308" s="44">
        <f>'NonPublic Enrollment'!$G308*0.7374</f>
        <v>91.437600000000003</v>
      </c>
      <c r="I308" s="44">
        <v>0</v>
      </c>
      <c r="J308" s="44">
        <f>'NonPublic Enrollment'!$I308*0.2906</f>
        <v>0</v>
      </c>
      <c r="K308" s="44">
        <f>'NonPublic Enrollment'!$D308+'NonPublic Enrollment'!$F308+'NonPublic Enrollment'!$H308+'NonPublic Enrollment'!$J308</f>
        <v>219.83760000000001</v>
      </c>
      <c r="L308" s="37" t="s">
        <v>2569</v>
      </c>
    </row>
    <row r="309" spans="1:12">
      <c r="A309" s="38" t="s">
        <v>2561</v>
      </c>
      <c r="B309" s="38" t="str">
        <f>"010582"</f>
        <v>010582</v>
      </c>
      <c r="C309" s="38" t="s">
        <v>2945</v>
      </c>
      <c r="D309" s="45">
        <v>132</v>
      </c>
      <c r="E309" s="45">
        <v>0</v>
      </c>
      <c r="F309" s="45">
        <f>'NonPublic Enrollment'!$E309*0.1</f>
        <v>0</v>
      </c>
      <c r="G309" s="45">
        <v>123</v>
      </c>
      <c r="H309" s="45">
        <f>'NonPublic Enrollment'!$G309*0.7374</f>
        <v>90.700200000000009</v>
      </c>
      <c r="I309" s="45">
        <v>0</v>
      </c>
      <c r="J309" s="45">
        <f>'NonPublic Enrollment'!$I309*0.2906</f>
        <v>0</v>
      </c>
      <c r="K309" s="45">
        <f>'NonPublic Enrollment'!$D309+'NonPublic Enrollment'!$F309+'NonPublic Enrollment'!$H309+'NonPublic Enrollment'!$J309</f>
        <v>222.7002</v>
      </c>
      <c r="L309" s="39" t="s">
        <v>2559</v>
      </c>
    </row>
    <row r="310" spans="1:12">
      <c r="A310" s="36" t="s">
        <v>2561</v>
      </c>
      <c r="B310" s="36" t="str">
        <f>"014110"</f>
        <v>014110</v>
      </c>
      <c r="C310" s="36" t="s">
        <v>2944</v>
      </c>
      <c r="D310" s="44">
        <v>208</v>
      </c>
      <c r="E310" s="44">
        <v>77</v>
      </c>
      <c r="F310" s="44">
        <f>'NonPublic Enrollment'!$E310*0.1</f>
        <v>7.7</v>
      </c>
      <c r="G310" s="44">
        <v>118</v>
      </c>
      <c r="H310" s="44">
        <f>'NonPublic Enrollment'!$G310*0.7374</f>
        <v>87.013200000000012</v>
      </c>
      <c r="I310" s="44">
        <v>0</v>
      </c>
      <c r="J310" s="44">
        <f>'NonPublic Enrollment'!$I310*0.2906</f>
        <v>0</v>
      </c>
      <c r="K310" s="44">
        <f>'NonPublic Enrollment'!$D310+'NonPublic Enrollment'!$F310+'NonPublic Enrollment'!$H310+'NonPublic Enrollment'!$J310</f>
        <v>302.71320000000003</v>
      </c>
      <c r="L310" s="37" t="s">
        <v>2562</v>
      </c>
    </row>
    <row r="311" spans="1:12">
      <c r="A311" s="38" t="s">
        <v>2561</v>
      </c>
      <c r="B311" s="38" t="str">
        <f>"053546"</f>
        <v>053546</v>
      </c>
      <c r="C311" s="38" t="s">
        <v>2659</v>
      </c>
      <c r="D311" s="45">
        <v>951</v>
      </c>
      <c r="E311" s="45">
        <v>0</v>
      </c>
      <c r="F311" s="45">
        <f>'NonPublic Enrollment'!$E311*0.1</f>
        <v>0</v>
      </c>
      <c r="G311" s="45">
        <v>92</v>
      </c>
      <c r="H311" s="45">
        <f>'NonPublic Enrollment'!$G311*0.7374</f>
        <v>67.840800000000002</v>
      </c>
      <c r="I311" s="45">
        <v>0</v>
      </c>
      <c r="J311" s="45">
        <f>'NonPublic Enrollment'!$I311*0.2906</f>
        <v>0</v>
      </c>
      <c r="K311" s="45">
        <f>'NonPublic Enrollment'!$D311+'NonPublic Enrollment'!$F311+'NonPublic Enrollment'!$H311+'NonPublic Enrollment'!$J311</f>
        <v>1018.8407999999999</v>
      </c>
      <c r="L311" s="39" t="s">
        <v>2562</v>
      </c>
    </row>
    <row r="312" spans="1:12">
      <c r="A312" s="36" t="s">
        <v>2561</v>
      </c>
      <c r="B312" s="36" t="str">
        <f>"016680"</f>
        <v>016680</v>
      </c>
      <c r="C312" s="36" t="s">
        <v>2943</v>
      </c>
      <c r="D312" s="44">
        <v>91</v>
      </c>
      <c r="E312" s="44">
        <v>74</v>
      </c>
      <c r="F312" s="44">
        <f>'NonPublic Enrollment'!$E312*0.1</f>
        <v>7.4</v>
      </c>
      <c r="G312" s="44">
        <v>91</v>
      </c>
      <c r="H312" s="44">
        <f>'NonPublic Enrollment'!$G312*0.7374</f>
        <v>67.103400000000008</v>
      </c>
      <c r="I312" s="44">
        <v>0</v>
      </c>
      <c r="J312" s="44">
        <f>'NonPublic Enrollment'!$I312*0.2906</f>
        <v>0</v>
      </c>
      <c r="K312" s="44">
        <f>'NonPublic Enrollment'!$D312+'NonPublic Enrollment'!$F312+'NonPublic Enrollment'!$H312+'NonPublic Enrollment'!$J312</f>
        <v>165.5034</v>
      </c>
      <c r="L312" s="37" t="s">
        <v>2582</v>
      </c>
    </row>
    <row r="313" spans="1:12">
      <c r="A313" s="38" t="s">
        <v>2561</v>
      </c>
      <c r="B313" s="38" t="str">
        <f>"053595"</f>
        <v>053595</v>
      </c>
      <c r="C313" s="38" t="s">
        <v>2942</v>
      </c>
      <c r="D313" s="45">
        <v>647</v>
      </c>
      <c r="E313" s="45">
        <v>0</v>
      </c>
      <c r="F313" s="45">
        <f>'NonPublic Enrollment'!$E313*0.1</f>
        <v>0</v>
      </c>
      <c r="G313" s="45">
        <v>88</v>
      </c>
      <c r="H313" s="45">
        <f>'NonPublic Enrollment'!$G313*0.7374</f>
        <v>64.891199999999998</v>
      </c>
      <c r="I313" s="45">
        <v>0</v>
      </c>
      <c r="J313" s="45">
        <f>'NonPublic Enrollment'!$I313*0.2906</f>
        <v>0</v>
      </c>
      <c r="K313" s="45">
        <f>'NonPublic Enrollment'!$D313+'NonPublic Enrollment'!$F313+'NonPublic Enrollment'!$H313+'NonPublic Enrollment'!$J313</f>
        <v>711.89120000000003</v>
      </c>
      <c r="L313" s="39" t="s">
        <v>2562</v>
      </c>
    </row>
    <row r="314" spans="1:12">
      <c r="A314" s="36" t="s">
        <v>2561</v>
      </c>
      <c r="B314" s="36" t="str">
        <f>"053645"</f>
        <v>053645</v>
      </c>
      <c r="C314" s="36" t="s">
        <v>2941</v>
      </c>
      <c r="D314" s="44">
        <v>603</v>
      </c>
      <c r="E314" s="44">
        <v>99</v>
      </c>
      <c r="F314" s="44">
        <f>'NonPublic Enrollment'!$E314*0.1</f>
        <v>9.9</v>
      </c>
      <c r="G314" s="44">
        <v>83</v>
      </c>
      <c r="H314" s="44">
        <f>'NonPublic Enrollment'!$G314*0.7374</f>
        <v>61.204200000000007</v>
      </c>
      <c r="I314" s="44">
        <v>0</v>
      </c>
      <c r="J314" s="44">
        <f>'NonPublic Enrollment'!$I314*0.2906</f>
        <v>0</v>
      </c>
      <c r="K314" s="44">
        <f>'NonPublic Enrollment'!$D314+'NonPublic Enrollment'!$F314+'NonPublic Enrollment'!$H314+'NonPublic Enrollment'!$J314</f>
        <v>674.10419999999999</v>
      </c>
      <c r="L314" s="37" t="s">
        <v>2591</v>
      </c>
    </row>
    <row r="315" spans="1:12">
      <c r="A315" s="38" t="s">
        <v>2561</v>
      </c>
      <c r="B315" s="38" t="str">
        <f>"068403"</f>
        <v>068403</v>
      </c>
      <c r="C315" s="38" t="s">
        <v>2940</v>
      </c>
      <c r="D315" s="45">
        <v>707</v>
      </c>
      <c r="E315" s="45">
        <v>472</v>
      </c>
      <c r="F315" s="45">
        <f>'NonPublic Enrollment'!$E315*0.1</f>
        <v>47.2</v>
      </c>
      <c r="G315" s="45">
        <v>83</v>
      </c>
      <c r="H315" s="45">
        <f>'NonPublic Enrollment'!$G315*0.7374</f>
        <v>61.204200000000007</v>
      </c>
      <c r="I315" s="45">
        <v>0</v>
      </c>
      <c r="J315" s="45">
        <f>'NonPublic Enrollment'!$I315*0.2906</f>
        <v>0</v>
      </c>
      <c r="K315" s="45">
        <f>'NonPublic Enrollment'!$D315+'NonPublic Enrollment'!$F315+'NonPublic Enrollment'!$H315+'NonPublic Enrollment'!$J315</f>
        <v>815.40420000000006</v>
      </c>
      <c r="L315" s="39" t="s">
        <v>2569</v>
      </c>
    </row>
    <row r="316" spans="1:12">
      <c r="A316" s="36" t="s">
        <v>2561</v>
      </c>
      <c r="B316" s="36" t="str">
        <f>"053306"</f>
        <v>053306</v>
      </c>
      <c r="C316" s="36" t="s">
        <v>2939</v>
      </c>
      <c r="D316" s="44">
        <v>861</v>
      </c>
      <c r="E316" s="44">
        <v>0</v>
      </c>
      <c r="F316" s="44">
        <f>'NonPublic Enrollment'!$E316*0.1</f>
        <v>0</v>
      </c>
      <c r="G316" s="44">
        <v>82</v>
      </c>
      <c r="H316" s="44">
        <f>'NonPublic Enrollment'!$G316*0.7374</f>
        <v>60.466800000000006</v>
      </c>
      <c r="I316" s="44">
        <v>0</v>
      </c>
      <c r="J316" s="44">
        <f>'NonPublic Enrollment'!$I316*0.2906</f>
        <v>0</v>
      </c>
      <c r="K316" s="44">
        <f>'NonPublic Enrollment'!$D316+'NonPublic Enrollment'!$F316+'NonPublic Enrollment'!$H316+'NonPublic Enrollment'!$J316</f>
        <v>921.46680000000003</v>
      </c>
      <c r="L316" s="37" t="s">
        <v>2562</v>
      </c>
    </row>
    <row r="317" spans="1:12">
      <c r="A317" s="38" t="s">
        <v>2561</v>
      </c>
      <c r="B317" s="38" t="str">
        <f>"016974"</f>
        <v>016974</v>
      </c>
      <c r="C317" s="38" t="s">
        <v>2938</v>
      </c>
      <c r="D317" s="45">
        <v>83</v>
      </c>
      <c r="E317" s="45">
        <v>0</v>
      </c>
      <c r="F317" s="45">
        <f>'NonPublic Enrollment'!$E317*0.1</f>
        <v>0</v>
      </c>
      <c r="G317" s="45">
        <v>79</v>
      </c>
      <c r="H317" s="45">
        <f>'NonPublic Enrollment'!$G317*0.7374</f>
        <v>58.254600000000003</v>
      </c>
      <c r="I317" s="45">
        <v>0</v>
      </c>
      <c r="J317" s="45">
        <f>'NonPublic Enrollment'!$I317*0.2906</f>
        <v>0</v>
      </c>
      <c r="K317" s="45">
        <f>'NonPublic Enrollment'!$D317+'NonPublic Enrollment'!$F317+'NonPublic Enrollment'!$H317+'NonPublic Enrollment'!$J317</f>
        <v>141.25460000000001</v>
      </c>
      <c r="L317" s="39" t="s">
        <v>2562</v>
      </c>
    </row>
    <row r="318" spans="1:12">
      <c r="A318" s="36" t="s">
        <v>2561</v>
      </c>
      <c r="B318" s="36" t="str">
        <f>"012974"</f>
        <v>012974</v>
      </c>
      <c r="C318" s="36" t="s">
        <v>2937</v>
      </c>
      <c r="D318" s="44">
        <v>78</v>
      </c>
      <c r="E318" s="44">
        <v>22</v>
      </c>
      <c r="F318" s="44">
        <f>'NonPublic Enrollment'!$E318*0.1</f>
        <v>2.2000000000000002</v>
      </c>
      <c r="G318" s="44">
        <v>78</v>
      </c>
      <c r="H318" s="44">
        <f>'NonPublic Enrollment'!$G318*0.7374</f>
        <v>57.517200000000003</v>
      </c>
      <c r="I318" s="44">
        <v>0</v>
      </c>
      <c r="J318" s="44">
        <f>'NonPublic Enrollment'!$I318*0.2906</f>
        <v>0</v>
      </c>
      <c r="K318" s="44">
        <f>'NonPublic Enrollment'!$D318+'NonPublic Enrollment'!$F318+'NonPublic Enrollment'!$H318+'NonPublic Enrollment'!$J318</f>
        <v>137.71719999999999</v>
      </c>
      <c r="L318" s="37" t="s">
        <v>2562</v>
      </c>
    </row>
    <row r="319" spans="1:12">
      <c r="A319" s="38" t="s">
        <v>2561</v>
      </c>
      <c r="B319" s="38" t="str">
        <f>"053850"</f>
        <v>053850</v>
      </c>
      <c r="C319" s="38" t="s">
        <v>2936</v>
      </c>
      <c r="D319" s="45">
        <v>592</v>
      </c>
      <c r="E319" s="45">
        <v>82</v>
      </c>
      <c r="F319" s="45">
        <f>'NonPublic Enrollment'!$E319*0.1</f>
        <v>8.2000000000000011</v>
      </c>
      <c r="G319" s="45">
        <v>77</v>
      </c>
      <c r="H319" s="45">
        <f>'NonPublic Enrollment'!$G319*0.7374</f>
        <v>56.779800000000002</v>
      </c>
      <c r="I319" s="45">
        <v>0</v>
      </c>
      <c r="J319" s="45">
        <f>'NonPublic Enrollment'!$I319*0.2906</f>
        <v>0</v>
      </c>
      <c r="K319" s="45">
        <f>'NonPublic Enrollment'!$D319+'NonPublic Enrollment'!$F319+'NonPublic Enrollment'!$H319+'NonPublic Enrollment'!$J319</f>
        <v>656.97980000000007</v>
      </c>
      <c r="L319" s="39" t="s">
        <v>2562</v>
      </c>
    </row>
    <row r="320" spans="1:12">
      <c r="A320" s="36" t="s">
        <v>2561</v>
      </c>
      <c r="B320" s="36" t="str">
        <f>"064915"</f>
        <v>064915</v>
      </c>
      <c r="C320" s="36" t="s">
        <v>2935</v>
      </c>
      <c r="D320" s="44">
        <v>643</v>
      </c>
      <c r="E320" s="44">
        <v>120</v>
      </c>
      <c r="F320" s="44">
        <f>'NonPublic Enrollment'!$E320*0.1</f>
        <v>12</v>
      </c>
      <c r="G320" s="44">
        <v>73</v>
      </c>
      <c r="H320" s="44">
        <f>'NonPublic Enrollment'!$G320*0.7374</f>
        <v>53.830200000000005</v>
      </c>
      <c r="I320" s="44">
        <v>0</v>
      </c>
      <c r="J320" s="44">
        <f>'NonPublic Enrollment'!$I320*0.2906</f>
        <v>0</v>
      </c>
      <c r="K320" s="44">
        <f>'NonPublic Enrollment'!$D320+'NonPublic Enrollment'!$F320+'NonPublic Enrollment'!$H320+'NonPublic Enrollment'!$J320</f>
        <v>708.83019999999999</v>
      </c>
      <c r="L320" s="37" t="s">
        <v>2562</v>
      </c>
    </row>
    <row r="321" spans="1:12">
      <c r="A321" s="38" t="s">
        <v>2561</v>
      </c>
      <c r="B321" s="38" t="str">
        <f>"055087"</f>
        <v>055087</v>
      </c>
      <c r="C321" s="38" t="s">
        <v>2934</v>
      </c>
      <c r="D321" s="45">
        <v>1018</v>
      </c>
      <c r="E321" s="45">
        <v>36</v>
      </c>
      <c r="F321" s="45">
        <f>'NonPublic Enrollment'!$E321*0.1</f>
        <v>3.6</v>
      </c>
      <c r="G321" s="45">
        <v>72</v>
      </c>
      <c r="H321" s="45">
        <f>'NonPublic Enrollment'!$G321*0.7374</f>
        <v>53.092800000000004</v>
      </c>
      <c r="I321" s="45">
        <v>0</v>
      </c>
      <c r="J321" s="45">
        <f>'NonPublic Enrollment'!$I321*0.2906</f>
        <v>0</v>
      </c>
      <c r="K321" s="45">
        <f>'NonPublic Enrollment'!$D321+'NonPublic Enrollment'!$F321+'NonPublic Enrollment'!$H321+'NonPublic Enrollment'!$J321</f>
        <v>1074.6928</v>
      </c>
      <c r="L321" s="39" t="s">
        <v>2591</v>
      </c>
    </row>
    <row r="322" spans="1:12">
      <c r="A322" s="36" t="s">
        <v>2561</v>
      </c>
      <c r="B322" s="36" t="str">
        <f>"053140"</f>
        <v>053140</v>
      </c>
      <c r="C322" s="36" t="s">
        <v>2933</v>
      </c>
      <c r="D322" s="44">
        <v>550</v>
      </c>
      <c r="E322" s="44">
        <v>61</v>
      </c>
      <c r="F322" s="44">
        <f>'NonPublic Enrollment'!$E322*0.1</f>
        <v>6.1000000000000005</v>
      </c>
      <c r="G322" s="44">
        <v>71</v>
      </c>
      <c r="H322" s="44">
        <f>'NonPublic Enrollment'!$G322*0.7374</f>
        <v>52.355400000000003</v>
      </c>
      <c r="I322" s="44">
        <v>0</v>
      </c>
      <c r="J322" s="44">
        <f>'NonPublic Enrollment'!$I322*0.2906</f>
        <v>0</v>
      </c>
      <c r="K322" s="44">
        <f>'NonPublic Enrollment'!$D322+'NonPublic Enrollment'!$F322+'NonPublic Enrollment'!$H322+'NonPublic Enrollment'!$J322</f>
        <v>608.45540000000005</v>
      </c>
      <c r="L322" s="37" t="s">
        <v>2562</v>
      </c>
    </row>
    <row r="323" spans="1:12">
      <c r="A323" s="38" t="s">
        <v>2561</v>
      </c>
      <c r="B323" s="38" t="str">
        <f>"053801"</f>
        <v>053801</v>
      </c>
      <c r="C323" s="38" t="s">
        <v>2932</v>
      </c>
      <c r="D323" s="45">
        <v>73</v>
      </c>
      <c r="E323" s="45">
        <v>0</v>
      </c>
      <c r="F323" s="45">
        <f>'NonPublic Enrollment'!$E323*0.1</f>
        <v>0</v>
      </c>
      <c r="G323" s="45">
        <v>67</v>
      </c>
      <c r="H323" s="45">
        <f>'NonPublic Enrollment'!$G323*0.7374</f>
        <v>49.405800000000006</v>
      </c>
      <c r="I323" s="45">
        <v>0</v>
      </c>
      <c r="J323" s="45">
        <f>'NonPublic Enrollment'!$I323*0.2906</f>
        <v>0</v>
      </c>
      <c r="K323" s="45">
        <f>'NonPublic Enrollment'!$D323+'NonPublic Enrollment'!$F323+'NonPublic Enrollment'!$H323+'NonPublic Enrollment'!$J323</f>
        <v>122.4058</v>
      </c>
      <c r="L323" s="39" t="s">
        <v>2562</v>
      </c>
    </row>
    <row r="324" spans="1:12">
      <c r="A324" s="36" t="s">
        <v>2561</v>
      </c>
      <c r="B324" s="36" t="str">
        <f>"052647"</f>
        <v>052647</v>
      </c>
      <c r="C324" s="36" t="s">
        <v>2931</v>
      </c>
      <c r="D324" s="44">
        <v>621</v>
      </c>
      <c r="E324" s="44">
        <v>39</v>
      </c>
      <c r="F324" s="44">
        <f>'NonPublic Enrollment'!$E324*0.1</f>
        <v>3.9000000000000004</v>
      </c>
      <c r="G324" s="44">
        <v>65</v>
      </c>
      <c r="H324" s="44">
        <f>'NonPublic Enrollment'!$G324*0.7374</f>
        <v>47.931000000000004</v>
      </c>
      <c r="I324" s="44">
        <v>0</v>
      </c>
      <c r="J324" s="44">
        <f>'NonPublic Enrollment'!$I324*0.2906</f>
        <v>0</v>
      </c>
      <c r="K324" s="44">
        <f>'NonPublic Enrollment'!$D324+'NonPublic Enrollment'!$F324+'NonPublic Enrollment'!$H324+'NonPublic Enrollment'!$J324</f>
        <v>672.83100000000002</v>
      </c>
      <c r="L324" s="37" t="s">
        <v>2562</v>
      </c>
    </row>
    <row r="325" spans="1:12">
      <c r="A325" s="38" t="s">
        <v>2561</v>
      </c>
      <c r="B325" s="38" t="str">
        <f>"017546"</f>
        <v>017546</v>
      </c>
      <c r="C325" s="38" t="s">
        <v>2930</v>
      </c>
      <c r="D325" s="45">
        <v>65</v>
      </c>
      <c r="E325" s="45">
        <v>0</v>
      </c>
      <c r="F325" s="45">
        <f>'NonPublic Enrollment'!$E325*0.1</f>
        <v>0</v>
      </c>
      <c r="G325" s="45">
        <v>65</v>
      </c>
      <c r="H325" s="45">
        <f>'NonPublic Enrollment'!$G325*0.7374</f>
        <v>47.931000000000004</v>
      </c>
      <c r="I325" s="45">
        <v>0</v>
      </c>
      <c r="J325" s="45">
        <f>'NonPublic Enrollment'!$I325*0.2906</f>
        <v>0</v>
      </c>
      <c r="K325" s="45">
        <f>'NonPublic Enrollment'!$D325+'NonPublic Enrollment'!$F325+'NonPublic Enrollment'!$H325+'NonPublic Enrollment'!$J325</f>
        <v>112.93100000000001</v>
      </c>
      <c r="L325" s="39" t="s">
        <v>2595</v>
      </c>
    </row>
    <row r="326" spans="1:12">
      <c r="A326" s="36" t="s">
        <v>2561</v>
      </c>
      <c r="B326" s="36" t="str">
        <f>"015331"</f>
        <v>015331</v>
      </c>
      <c r="C326" s="36" t="s">
        <v>2929</v>
      </c>
      <c r="D326" s="44">
        <v>135</v>
      </c>
      <c r="E326" s="44">
        <v>44</v>
      </c>
      <c r="F326" s="44">
        <f>'NonPublic Enrollment'!$E326*0.1</f>
        <v>4.4000000000000004</v>
      </c>
      <c r="G326" s="44">
        <v>64</v>
      </c>
      <c r="H326" s="44">
        <f>'NonPublic Enrollment'!$G326*0.7374</f>
        <v>47.193600000000004</v>
      </c>
      <c r="I326" s="44">
        <v>0</v>
      </c>
      <c r="J326" s="44">
        <f>'NonPublic Enrollment'!$I326*0.2906</f>
        <v>0</v>
      </c>
      <c r="K326" s="44">
        <f>'NonPublic Enrollment'!$D326+'NonPublic Enrollment'!$F326+'NonPublic Enrollment'!$H326+'NonPublic Enrollment'!$J326</f>
        <v>186.59360000000001</v>
      </c>
      <c r="L326" s="37" t="s">
        <v>2569</v>
      </c>
    </row>
    <row r="327" spans="1:12">
      <c r="A327" s="38" t="s">
        <v>2561</v>
      </c>
      <c r="B327" s="38" t="str">
        <f>"057836"</f>
        <v>057836</v>
      </c>
      <c r="C327" s="38" t="s">
        <v>2722</v>
      </c>
      <c r="D327" s="45">
        <v>468</v>
      </c>
      <c r="E327" s="45">
        <v>27</v>
      </c>
      <c r="F327" s="45">
        <f>'NonPublic Enrollment'!$E327*0.1</f>
        <v>2.7</v>
      </c>
      <c r="G327" s="45">
        <v>61</v>
      </c>
      <c r="H327" s="45">
        <f>'NonPublic Enrollment'!$G327*0.7374</f>
        <v>44.981400000000001</v>
      </c>
      <c r="I327" s="45">
        <v>0</v>
      </c>
      <c r="J327" s="45">
        <f>'NonPublic Enrollment'!$I327*0.2906</f>
        <v>0</v>
      </c>
      <c r="K327" s="45">
        <f>'NonPublic Enrollment'!$D327+'NonPublic Enrollment'!$F327+'NonPublic Enrollment'!$H327+'NonPublic Enrollment'!$J327</f>
        <v>515.68139999999994</v>
      </c>
      <c r="L327" s="39" t="s">
        <v>2562</v>
      </c>
    </row>
    <row r="328" spans="1:12">
      <c r="A328" s="36" t="s">
        <v>2561</v>
      </c>
      <c r="B328" s="36" t="str">
        <f>"015696"</f>
        <v>015696</v>
      </c>
      <c r="C328" s="36" t="s">
        <v>2928</v>
      </c>
      <c r="D328" s="44">
        <v>63</v>
      </c>
      <c r="E328" s="44">
        <v>45</v>
      </c>
      <c r="F328" s="44">
        <f>'NonPublic Enrollment'!$E328*0.1</f>
        <v>4.5</v>
      </c>
      <c r="G328" s="44">
        <v>60</v>
      </c>
      <c r="H328" s="44">
        <f>'NonPublic Enrollment'!$G328*0.7374</f>
        <v>44.244</v>
      </c>
      <c r="I328" s="44">
        <v>0</v>
      </c>
      <c r="J328" s="44">
        <f>'NonPublic Enrollment'!$I328*0.2906</f>
        <v>0</v>
      </c>
      <c r="K328" s="44">
        <f>'NonPublic Enrollment'!$D328+'NonPublic Enrollment'!$F328+'NonPublic Enrollment'!$H328+'NonPublic Enrollment'!$J328</f>
        <v>111.744</v>
      </c>
      <c r="L328" s="37" t="s">
        <v>2562</v>
      </c>
    </row>
    <row r="329" spans="1:12">
      <c r="A329" s="38" t="s">
        <v>2561</v>
      </c>
      <c r="B329" s="38" t="str">
        <f>"053637"</f>
        <v>053637</v>
      </c>
      <c r="C329" s="38" t="s">
        <v>2927</v>
      </c>
      <c r="D329" s="45">
        <v>422</v>
      </c>
      <c r="E329" s="45">
        <v>176</v>
      </c>
      <c r="F329" s="45">
        <f>'NonPublic Enrollment'!$E329*0.1</f>
        <v>17.600000000000001</v>
      </c>
      <c r="G329" s="45">
        <v>60</v>
      </c>
      <c r="H329" s="45">
        <f>'NonPublic Enrollment'!$G329*0.7374</f>
        <v>44.244</v>
      </c>
      <c r="I329" s="45">
        <v>0</v>
      </c>
      <c r="J329" s="45">
        <f>'NonPublic Enrollment'!$I329*0.2906</f>
        <v>0</v>
      </c>
      <c r="K329" s="45">
        <f>'NonPublic Enrollment'!$D329+'NonPublic Enrollment'!$F329+'NonPublic Enrollment'!$H329+'NonPublic Enrollment'!$J329</f>
        <v>483.84400000000005</v>
      </c>
      <c r="L329" s="39" t="s">
        <v>2591</v>
      </c>
    </row>
    <row r="330" spans="1:12">
      <c r="A330" s="36" t="s">
        <v>2561</v>
      </c>
      <c r="B330" s="36" t="str">
        <f>"052951"</f>
        <v>052951</v>
      </c>
      <c r="C330" s="36" t="s">
        <v>2926</v>
      </c>
      <c r="D330" s="44">
        <v>724</v>
      </c>
      <c r="E330" s="44">
        <v>97</v>
      </c>
      <c r="F330" s="44">
        <f>'NonPublic Enrollment'!$E330*0.1</f>
        <v>9.7000000000000011</v>
      </c>
      <c r="G330" s="44">
        <v>59</v>
      </c>
      <c r="H330" s="44">
        <f>'NonPublic Enrollment'!$G330*0.7374</f>
        <v>43.506600000000006</v>
      </c>
      <c r="I330" s="44">
        <v>0</v>
      </c>
      <c r="J330" s="44">
        <f>'NonPublic Enrollment'!$I330*0.2906</f>
        <v>0</v>
      </c>
      <c r="K330" s="44">
        <f>'NonPublic Enrollment'!$D330+'NonPublic Enrollment'!$F330+'NonPublic Enrollment'!$H330+'NonPublic Enrollment'!$J330</f>
        <v>777.20660000000009</v>
      </c>
      <c r="L330" s="37" t="s">
        <v>2562</v>
      </c>
    </row>
    <row r="331" spans="1:12">
      <c r="A331" s="38" t="s">
        <v>2561</v>
      </c>
      <c r="B331" s="38" t="str">
        <f>"057299"</f>
        <v>057299</v>
      </c>
      <c r="C331" s="38" t="s">
        <v>2818</v>
      </c>
      <c r="D331" s="45">
        <v>434</v>
      </c>
      <c r="E331" s="45">
        <v>39</v>
      </c>
      <c r="F331" s="45">
        <f>'NonPublic Enrollment'!$E331*0.1</f>
        <v>3.9000000000000004</v>
      </c>
      <c r="G331" s="45">
        <v>58</v>
      </c>
      <c r="H331" s="45">
        <f>'NonPublic Enrollment'!$G331*0.7374</f>
        <v>42.769200000000005</v>
      </c>
      <c r="I331" s="45">
        <v>0</v>
      </c>
      <c r="J331" s="45">
        <f>'NonPublic Enrollment'!$I331*0.2906</f>
        <v>0</v>
      </c>
      <c r="K331" s="45">
        <f>'NonPublic Enrollment'!$D331+'NonPublic Enrollment'!$F331+'NonPublic Enrollment'!$H331+'NonPublic Enrollment'!$J331</f>
        <v>480.66919999999999</v>
      </c>
      <c r="L331" s="39" t="s">
        <v>2562</v>
      </c>
    </row>
    <row r="332" spans="1:12">
      <c r="A332" s="36" t="s">
        <v>2561</v>
      </c>
      <c r="B332" s="36" t="str">
        <f>"053488"</f>
        <v>053488</v>
      </c>
      <c r="C332" s="36" t="s">
        <v>2925</v>
      </c>
      <c r="D332" s="44">
        <v>496</v>
      </c>
      <c r="E332" s="44">
        <v>100</v>
      </c>
      <c r="F332" s="44">
        <f>'NonPublic Enrollment'!$E332*0.1</f>
        <v>10</v>
      </c>
      <c r="G332" s="44">
        <v>56</v>
      </c>
      <c r="H332" s="44">
        <f>'NonPublic Enrollment'!$G332*0.7374</f>
        <v>41.294400000000003</v>
      </c>
      <c r="I332" s="44">
        <v>0</v>
      </c>
      <c r="J332" s="44">
        <f>'NonPublic Enrollment'!$I332*0.2906</f>
        <v>0</v>
      </c>
      <c r="K332" s="44">
        <f>'NonPublic Enrollment'!$D332+'NonPublic Enrollment'!$F332+'NonPublic Enrollment'!$H332+'NonPublic Enrollment'!$J332</f>
        <v>547.2944</v>
      </c>
      <c r="L332" s="37" t="s">
        <v>2562</v>
      </c>
    </row>
    <row r="333" spans="1:12">
      <c r="A333" s="38" t="s">
        <v>2561</v>
      </c>
      <c r="B333" s="38" t="str">
        <f>"112490"</f>
        <v>112490</v>
      </c>
      <c r="C333" s="38" t="s">
        <v>2924</v>
      </c>
      <c r="D333" s="45">
        <v>141</v>
      </c>
      <c r="E333" s="45">
        <v>79</v>
      </c>
      <c r="F333" s="45">
        <f>'NonPublic Enrollment'!$E333*0.1</f>
        <v>7.9</v>
      </c>
      <c r="G333" s="45">
        <v>54</v>
      </c>
      <c r="H333" s="45">
        <f>'NonPublic Enrollment'!$G333*0.7374</f>
        <v>39.819600000000001</v>
      </c>
      <c r="I333" s="45">
        <v>0</v>
      </c>
      <c r="J333" s="45">
        <f>'NonPublic Enrollment'!$I333*0.2906</f>
        <v>0</v>
      </c>
      <c r="K333" s="45">
        <f>'NonPublic Enrollment'!$D333+'NonPublic Enrollment'!$F333+'NonPublic Enrollment'!$H333+'NonPublic Enrollment'!$J333</f>
        <v>188.71960000000001</v>
      </c>
      <c r="L333" s="39" t="s">
        <v>2572</v>
      </c>
    </row>
    <row r="334" spans="1:12">
      <c r="A334" s="36" t="s">
        <v>2561</v>
      </c>
      <c r="B334" s="36" t="str">
        <f>"054445"</f>
        <v>054445</v>
      </c>
      <c r="C334" s="36" t="s">
        <v>2923</v>
      </c>
      <c r="D334" s="44">
        <v>826</v>
      </c>
      <c r="E334" s="44">
        <v>0</v>
      </c>
      <c r="F334" s="44">
        <f>'NonPublic Enrollment'!$E334*0.1</f>
        <v>0</v>
      </c>
      <c r="G334" s="44">
        <v>54</v>
      </c>
      <c r="H334" s="44">
        <f>'NonPublic Enrollment'!$G334*0.7374</f>
        <v>39.819600000000001</v>
      </c>
      <c r="I334" s="44">
        <v>0</v>
      </c>
      <c r="J334" s="44">
        <f>'NonPublic Enrollment'!$I334*0.2906</f>
        <v>0</v>
      </c>
      <c r="K334" s="44">
        <f>'NonPublic Enrollment'!$D334+'NonPublic Enrollment'!$F334+'NonPublic Enrollment'!$H334+'NonPublic Enrollment'!$J334</f>
        <v>865.81960000000004</v>
      </c>
      <c r="L334" s="37" t="s">
        <v>2591</v>
      </c>
    </row>
    <row r="335" spans="1:12">
      <c r="A335" s="38" t="s">
        <v>2561</v>
      </c>
      <c r="B335" s="38" t="str">
        <f>"052803"</f>
        <v>052803</v>
      </c>
      <c r="C335" s="38" t="s">
        <v>2922</v>
      </c>
      <c r="D335" s="45">
        <v>735</v>
      </c>
      <c r="E335" s="45">
        <v>155</v>
      </c>
      <c r="F335" s="45">
        <f>'NonPublic Enrollment'!$E335*0.1</f>
        <v>15.5</v>
      </c>
      <c r="G335" s="45">
        <v>51</v>
      </c>
      <c r="H335" s="45">
        <f>'NonPublic Enrollment'!$G335*0.7374</f>
        <v>37.607400000000005</v>
      </c>
      <c r="I335" s="45">
        <v>0</v>
      </c>
      <c r="J335" s="45">
        <f>'NonPublic Enrollment'!$I335*0.2906</f>
        <v>0</v>
      </c>
      <c r="K335" s="45">
        <f>'NonPublic Enrollment'!$D335+'NonPublic Enrollment'!$F335+'NonPublic Enrollment'!$H335+'NonPublic Enrollment'!$J335</f>
        <v>788.10739999999998</v>
      </c>
      <c r="L335" s="39" t="s">
        <v>2562</v>
      </c>
    </row>
    <row r="336" spans="1:12">
      <c r="A336" s="36" t="s">
        <v>2561</v>
      </c>
      <c r="B336" s="36" t="str">
        <f>"058099"</f>
        <v>058099</v>
      </c>
      <c r="C336" s="36" t="s">
        <v>2921</v>
      </c>
      <c r="D336" s="44">
        <v>258</v>
      </c>
      <c r="E336" s="44">
        <v>90</v>
      </c>
      <c r="F336" s="44">
        <f>'NonPublic Enrollment'!$E336*0.1</f>
        <v>9</v>
      </c>
      <c r="G336" s="44">
        <v>45</v>
      </c>
      <c r="H336" s="44">
        <f>'NonPublic Enrollment'!$G336*0.7374</f>
        <v>33.183</v>
      </c>
      <c r="I336" s="44">
        <v>0</v>
      </c>
      <c r="J336" s="44">
        <f>'NonPublic Enrollment'!$I336*0.2906</f>
        <v>0</v>
      </c>
      <c r="K336" s="44">
        <f>'NonPublic Enrollment'!$D336+'NonPublic Enrollment'!$F336+'NonPublic Enrollment'!$H336+'NonPublic Enrollment'!$J336</f>
        <v>300.18299999999999</v>
      </c>
      <c r="L336" s="37" t="s">
        <v>2562</v>
      </c>
    </row>
    <row r="337" spans="1:12">
      <c r="A337" s="38" t="s">
        <v>2561</v>
      </c>
      <c r="B337" s="38" t="str">
        <f>"059964"</f>
        <v>059964</v>
      </c>
      <c r="C337" s="38" t="s">
        <v>2734</v>
      </c>
      <c r="D337" s="45">
        <v>249</v>
      </c>
      <c r="E337" s="45">
        <v>19</v>
      </c>
      <c r="F337" s="45">
        <f>'NonPublic Enrollment'!$E337*0.1</f>
        <v>1.9000000000000001</v>
      </c>
      <c r="G337" s="45">
        <v>44</v>
      </c>
      <c r="H337" s="45">
        <f>'NonPublic Enrollment'!$G337*0.7374</f>
        <v>32.445599999999999</v>
      </c>
      <c r="I337" s="45">
        <v>0</v>
      </c>
      <c r="J337" s="45">
        <f>'NonPublic Enrollment'!$I337*0.2906</f>
        <v>0</v>
      </c>
      <c r="K337" s="45">
        <f>'NonPublic Enrollment'!$D337+'NonPublic Enrollment'!$F337+'NonPublic Enrollment'!$H337+'NonPublic Enrollment'!$J337</f>
        <v>283.34559999999999</v>
      </c>
      <c r="L337" s="39" t="s">
        <v>2591</v>
      </c>
    </row>
    <row r="338" spans="1:12">
      <c r="A338" s="36" t="s">
        <v>2561</v>
      </c>
      <c r="B338" s="36" t="str">
        <f>"052779"</f>
        <v>052779</v>
      </c>
      <c r="C338" s="36" t="s">
        <v>2920</v>
      </c>
      <c r="D338" s="44">
        <v>428</v>
      </c>
      <c r="E338" s="44">
        <v>79</v>
      </c>
      <c r="F338" s="44">
        <f>'NonPublic Enrollment'!$E338*0.1</f>
        <v>7.9</v>
      </c>
      <c r="G338" s="44">
        <v>44</v>
      </c>
      <c r="H338" s="44">
        <f>'NonPublic Enrollment'!$G338*0.7374</f>
        <v>32.445599999999999</v>
      </c>
      <c r="I338" s="44">
        <v>0</v>
      </c>
      <c r="J338" s="44">
        <f>'NonPublic Enrollment'!$I338*0.2906</f>
        <v>0</v>
      </c>
      <c r="K338" s="44">
        <f>'NonPublic Enrollment'!$D338+'NonPublic Enrollment'!$F338+'NonPublic Enrollment'!$H338+'NonPublic Enrollment'!$J338</f>
        <v>468.34559999999999</v>
      </c>
      <c r="L338" s="37" t="s">
        <v>2591</v>
      </c>
    </row>
    <row r="339" spans="1:12">
      <c r="A339" s="38" t="s">
        <v>2561</v>
      </c>
      <c r="B339" s="38" t="str">
        <f>"054577"</f>
        <v>054577</v>
      </c>
      <c r="C339" s="38" t="s">
        <v>2919</v>
      </c>
      <c r="D339" s="45">
        <v>403</v>
      </c>
      <c r="E339" s="45">
        <v>0</v>
      </c>
      <c r="F339" s="45">
        <f>'NonPublic Enrollment'!$E339*0.1</f>
        <v>0</v>
      </c>
      <c r="G339" s="45">
        <v>43</v>
      </c>
      <c r="H339" s="45">
        <f>'NonPublic Enrollment'!$G339*0.7374</f>
        <v>31.708200000000001</v>
      </c>
      <c r="I339" s="45">
        <v>0</v>
      </c>
      <c r="J339" s="45">
        <f>'NonPublic Enrollment'!$I339*0.2906</f>
        <v>0</v>
      </c>
      <c r="K339" s="45">
        <f>'NonPublic Enrollment'!$D339+'NonPublic Enrollment'!$F339+'NonPublic Enrollment'!$H339+'NonPublic Enrollment'!$J339</f>
        <v>434.70819999999998</v>
      </c>
      <c r="L339" s="39" t="s">
        <v>2591</v>
      </c>
    </row>
    <row r="340" spans="1:12">
      <c r="A340" s="36" t="s">
        <v>2561</v>
      </c>
      <c r="B340" s="36" t="str">
        <f>"132621"</f>
        <v>132621</v>
      </c>
      <c r="C340" s="36" t="s">
        <v>2918</v>
      </c>
      <c r="D340" s="44">
        <v>12</v>
      </c>
      <c r="E340" s="44">
        <v>0</v>
      </c>
      <c r="F340" s="44">
        <f>'NonPublic Enrollment'!$E340*0.1</f>
        <v>0</v>
      </c>
      <c r="G340" s="44">
        <v>41</v>
      </c>
      <c r="H340" s="44">
        <f>'NonPublic Enrollment'!$G340*0.7374</f>
        <v>30.233400000000003</v>
      </c>
      <c r="I340" s="44">
        <v>0</v>
      </c>
      <c r="J340" s="44">
        <f>'NonPublic Enrollment'!$I340*0.2906</f>
        <v>0</v>
      </c>
      <c r="K340" s="44">
        <f>'NonPublic Enrollment'!$D340+'NonPublic Enrollment'!$F340+'NonPublic Enrollment'!$H340+'NonPublic Enrollment'!$J340</f>
        <v>42.233400000000003</v>
      </c>
      <c r="L340" s="37" t="s">
        <v>2562</v>
      </c>
    </row>
    <row r="341" spans="1:12">
      <c r="A341" s="38" t="s">
        <v>2561</v>
      </c>
      <c r="B341" s="38" t="str">
        <f>"056770"</f>
        <v>056770</v>
      </c>
      <c r="C341" s="38" t="s">
        <v>2917</v>
      </c>
      <c r="D341" s="45">
        <v>331</v>
      </c>
      <c r="E341" s="45">
        <v>13</v>
      </c>
      <c r="F341" s="45">
        <f>'NonPublic Enrollment'!$E341*0.1</f>
        <v>1.3</v>
      </c>
      <c r="G341" s="45">
        <v>39</v>
      </c>
      <c r="H341" s="45">
        <f>'NonPublic Enrollment'!$G341*0.7374</f>
        <v>28.758600000000001</v>
      </c>
      <c r="I341" s="45">
        <v>0</v>
      </c>
      <c r="J341" s="45">
        <f>'NonPublic Enrollment'!$I341*0.2906</f>
        <v>0</v>
      </c>
      <c r="K341" s="45">
        <f>'NonPublic Enrollment'!$D341+'NonPublic Enrollment'!$F341+'NonPublic Enrollment'!$H341+'NonPublic Enrollment'!$J341</f>
        <v>361.05860000000001</v>
      </c>
      <c r="L341" s="39" t="s">
        <v>2562</v>
      </c>
    </row>
    <row r="342" spans="1:12">
      <c r="A342" s="36" t="s">
        <v>2561</v>
      </c>
      <c r="B342" s="36" t="str">
        <f>"054015"</f>
        <v>054015</v>
      </c>
      <c r="C342" s="36" t="s">
        <v>2916</v>
      </c>
      <c r="D342" s="44">
        <v>713</v>
      </c>
      <c r="E342" s="44">
        <v>115</v>
      </c>
      <c r="F342" s="44">
        <f>'NonPublic Enrollment'!$E342*0.1</f>
        <v>11.5</v>
      </c>
      <c r="G342" s="44">
        <v>39</v>
      </c>
      <c r="H342" s="44">
        <f>'NonPublic Enrollment'!$G342*0.7374</f>
        <v>28.758600000000001</v>
      </c>
      <c r="I342" s="44">
        <v>0</v>
      </c>
      <c r="J342" s="44">
        <f>'NonPublic Enrollment'!$I342*0.2906</f>
        <v>0</v>
      </c>
      <c r="K342" s="44">
        <f>'NonPublic Enrollment'!$D342+'NonPublic Enrollment'!$F342+'NonPublic Enrollment'!$H342+'NonPublic Enrollment'!$J342</f>
        <v>753.2586</v>
      </c>
      <c r="L342" s="37" t="s">
        <v>2562</v>
      </c>
    </row>
    <row r="343" spans="1:12">
      <c r="A343" s="38" t="s">
        <v>2561</v>
      </c>
      <c r="B343" s="38" t="str">
        <f>"067629"</f>
        <v>067629</v>
      </c>
      <c r="C343" s="38" t="s">
        <v>2915</v>
      </c>
      <c r="D343" s="45">
        <v>469</v>
      </c>
      <c r="E343" s="45">
        <v>134</v>
      </c>
      <c r="F343" s="45">
        <f>'NonPublic Enrollment'!$E343*0.1</f>
        <v>13.4</v>
      </c>
      <c r="G343" s="45">
        <v>39</v>
      </c>
      <c r="H343" s="45">
        <f>'NonPublic Enrollment'!$G343*0.7374</f>
        <v>28.758600000000001</v>
      </c>
      <c r="I343" s="45">
        <v>0</v>
      </c>
      <c r="J343" s="45">
        <f>'NonPublic Enrollment'!$I343*0.2906</f>
        <v>0</v>
      </c>
      <c r="K343" s="45">
        <f>'NonPublic Enrollment'!$D343+'NonPublic Enrollment'!$F343+'NonPublic Enrollment'!$H343+'NonPublic Enrollment'!$J343</f>
        <v>511.15859999999998</v>
      </c>
      <c r="L343" s="39" t="s">
        <v>2562</v>
      </c>
    </row>
    <row r="344" spans="1:12">
      <c r="A344" s="36" t="s">
        <v>2561</v>
      </c>
      <c r="B344" s="36" t="str">
        <f>"056366"</f>
        <v>056366</v>
      </c>
      <c r="C344" s="36" t="s">
        <v>2914</v>
      </c>
      <c r="D344" s="44">
        <v>654</v>
      </c>
      <c r="E344" s="44">
        <v>0</v>
      </c>
      <c r="F344" s="44">
        <f>'NonPublic Enrollment'!$E344*0.1</f>
        <v>0</v>
      </c>
      <c r="G344" s="44">
        <v>39</v>
      </c>
      <c r="H344" s="44">
        <f>'NonPublic Enrollment'!$G344*0.7374</f>
        <v>28.758600000000001</v>
      </c>
      <c r="I344" s="44">
        <v>0</v>
      </c>
      <c r="J344" s="44">
        <f>'NonPublic Enrollment'!$I344*0.2906</f>
        <v>0</v>
      </c>
      <c r="K344" s="44">
        <f>'NonPublic Enrollment'!$D344+'NonPublic Enrollment'!$F344+'NonPublic Enrollment'!$H344+'NonPublic Enrollment'!$J344</f>
        <v>682.7586</v>
      </c>
      <c r="L344" s="37" t="s">
        <v>2569</v>
      </c>
    </row>
    <row r="345" spans="1:12">
      <c r="A345" s="38" t="s">
        <v>2561</v>
      </c>
      <c r="B345" s="38" t="str">
        <f>"058156"</f>
        <v>058156</v>
      </c>
      <c r="C345" s="38" t="s">
        <v>2821</v>
      </c>
      <c r="D345" s="45">
        <v>484</v>
      </c>
      <c r="E345" s="45">
        <v>34</v>
      </c>
      <c r="F345" s="45">
        <f>'NonPublic Enrollment'!$E345*0.1</f>
        <v>3.4000000000000004</v>
      </c>
      <c r="G345" s="45">
        <v>38</v>
      </c>
      <c r="H345" s="45">
        <f>'NonPublic Enrollment'!$G345*0.7374</f>
        <v>28.0212</v>
      </c>
      <c r="I345" s="45">
        <v>0</v>
      </c>
      <c r="J345" s="45">
        <f>'NonPublic Enrollment'!$I345*0.2906</f>
        <v>0</v>
      </c>
      <c r="K345" s="45">
        <f>'NonPublic Enrollment'!$D345+'NonPublic Enrollment'!$F345+'NonPublic Enrollment'!$H345+'NonPublic Enrollment'!$J345</f>
        <v>515.4212</v>
      </c>
      <c r="L345" s="39" t="s">
        <v>2562</v>
      </c>
    </row>
    <row r="346" spans="1:12">
      <c r="A346" s="36" t="s">
        <v>2561</v>
      </c>
      <c r="B346" s="36" t="str">
        <f>"052795"</f>
        <v>052795</v>
      </c>
      <c r="C346" s="36" t="s">
        <v>2913</v>
      </c>
      <c r="D346" s="44">
        <v>472</v>
      </c>
      <c r="E346" s="44">
        <v>175</v>
      </c>
      <c r="F346" s="44">
        <f>'NonPublic Enrollment'!$E346*0.1</f>
        <v>17.5</v>
      </c>
      <c r="G346" s="44">
        <v>38</v>
      </c>
      <c r="H346" s="44">
        <f>'NonPublic Enrollment'!$G346*0.7374</f>
        <v>28.0212</v>
      </c>
      <c r="I346" s="44">
        <v>0</v>
      </c>
      <c r="J346" s="44">
        <f>'NonPublic Enrollment'!$I346*0.2906</f>
        <v>0</v>
      </c>
      <c r="K346" s="44">
        <f>'NonPublic Enrollment'!$D346+'NonPublic Enrollment'!$F346+'NonPublic Enrollment'!$H346+'NonPublic Enrollment'!$J346</f>
        <v>517.52120000000002</v>
      </c>
      <c r="L346" s="37" t="s">
        <v>2562</v>
      </c>
    </row>
    <row r="347" spans="1:12">
      <c r="A347" s="38" t="s">
        <v>2561</v>
      </c>
      <c r="B347" s="38" t="str">
        <f>"134619"</f>
        <v>134619</v>
      </c>
      <c r="C347" s="38" t="s">
        <v>2779</v>
      </c>
      <c r="D347" s="45">
        <v>279</v>
      </c>
      <c r="E347" s="45">
        <v>0</v>
      </c>
      <c r="F347" s="45">
        <f>'NonPublic Enrollment'!$E347*0.1</f>
        <v>0</v>
      </c>
      <c r="G347" s="45">
        <v>38</v>
      </c>
      <c r="H347" s="45">
        <f>'NonPublic Enrollment'!$G347*0.7374</f>
        <v>28.0212</v>
      </c>
      <c r="I347" s="45">
        <v>0</v>
      </c>
      <c r="J347" s="45">
        <f>'NonPublic Enrollment'!$I347*0.2906</f>
        <v>0</v>
      </c>
      <c r="K347" s="45">
        <f>'NonPublic Enrollment'!$D347+'NonPublic Enrollment'!$F347+'NonPublic Enrollment'!$H347+'NonPublic Enrollment'!$J347</f>
        <v>307.02120000000002</v>
      </c>
      <c r="L347" s="39" t="s">
        <v>2562</v>
      </c>
    </row>
    <row r="348" spans="1:12">
      <c r="A348" s="36" t="s">
        <v>2561</v>
      </c>
      <c r="B348" s="36" t="str">
        <f>"053298"</f>
        <v>053298</v>
      </c>
      <c r="C348" s="36" t="s">
        <v>2912</v>
      </c>
      <c r="D348" s="44">
        <v>501</v>
      </c>
      <c r="E348" s="44">
        <v>1</v>
      </c>
      <c r="F348" s="44">
        <f>'NonPublic Enrollment'!$E348*0.1</f>
        <v>0.1</v>
      </c>
      <c r="G348" s="44">
        <v>37</v>
      </c>
      <c r="H348" s="44">
        <f>'NonPublic Enrollment'!$G348*0.7374</f>
        <v>27.283800000000003</v>
      </c>
      <c r="I348" s="44">
        <v>0</v>
      </c>
      <c r="J348" s="44">
        <f>'NonPublic Enrollment'!$I348*0.2906</f>
        <v>0</v>
      </c>
      <c r="K348" s="44">
        <f>'NonPublic Enrollment'!$D348+'NonPublic Enrollment'!$F348+'NonPublic Enrollment'!$H348+'NonPublic Enrollment'!$J348</f>
        <v>528.38380000000006</v>
      </c>
      <c r="L348" s="37" t="s">
        <v>2562</v>
      </c>
    </row>
    <row r="349" spans="1:12">
      <c r="A349" s="38" t="s">
        <v>2561</v>
      </c>
      <c r="B349" s="38" t="str">
        <f>"053439"</f>
        <v>053439</v>
      </c>
      <c r="C349" s="38" t="s">
        <v>2911</v>
      </c>
      <c r="D349" s="45">
        <v>742</v>
      </c>
      <c r="E349" s="45">
        <v>82</v>
      </c>
      <c r="F349" s="45">
        <f>'NonPublic Enrollment'!$E349*0.1</f>
        <v>8.2000000000000011</v>
      </c>
      <c r="G349" s="45">
        <v>37</v>
      </c>
      <c r="H349" s="45">
        <f>'NonPublic Enrollment'!$G349*0.7374</f>
        <v>27.283800000000003</v>
      </c>
      <c r="I349" s="45">
        <v>0</v>
      </c>
      <c r="J349" s="45">
        <f>'NonPublic Enrollment'!$I349*0.2906</f>
        <v>0</v>
      </c>
      <c r="K349" s="45">
        <f>'NonPublic Enrollment'!$D349+'NonPublic Enrollment'!$F349+'NonPublic Enrollment'!$H349+'NonPublic Enrollment'!$J349</f>
        <v>777.48380000000009</v>
      </c>
      <c r="L349" s="39" t="s">
        <v>2562</v>
      </c>
    </row>
    <row r="350" spans="1:12">
      <c r="A350" s="36" t="s">
        <v>2561</v>
      </c>
      <c r="B350" s="36" t="str">
        <f>"059105"</f>
        <v>059105</v>
      </c>
      <c r="C350" s="36" t="s">
        <v>2625</v>
      </c>
      <c r="D350" s="44">
        <v>373</v>
      </c>
      <c r="E350" s="44">
        <v>6</v>
      </c>
      <c r="F350" s="44">
        <f>'NonPublic Enrollment'!$E350*0.1</f>
        <v>0.60000000000000009</v>
      </c>
      <c r="G350" s="44">
        <v>36</v>
      </c>
      <c r="H350" s="44">
        <f>'NonPublic Enrollment'!$G350*0.7374</f>
        <v>26.546400000000002</v>
      </c>
      <c r="I350" s="44">
        <v>0</v>
      </c>
      <c r="J350" s="44">
        <f>'NonPublic Enrollment'!$I350*0.2906</f>
        <v>0</v>
      </c>
      <c r="K350" s="44">
        <f>'NonPublic Enrollment'!$D350+'NonPublic Enrollment'!$F350+'NonPublic Enrollment'!$H350+'NonPublic Enrollment'!$J350</f>
        <v>400.14640000000003</v>
      </c>
      <c r="L350" s="37" t="s">
        <v>2562</v>
      </c>
    </row>
    <row r="351" spans="1:12">
      <c r="A351" s="38" t="s">
        <v>2561</v>
      </c>
      <c r="B351" s="38" t="str">
        <f>"053835"</f>
        <v>053835</v>
      </c>
      <c r="C351" s="38" t="s">
        <v>2720</v>
      </c>
      <c r="D351" s="45">
        <v>648</v>
      </c>
      <c r="E351" s="45">
        <v>18</v>
      </c>
      <c r="F351" s="45">
        <f>'NonPublic Enrollment'!$E351*0.1</f>
        <v>1.8</v>
      </c>
      <c r="G351" s="45">
        <v>36</v>
      </c>
      <c r="H351" s="45">
        <f>'NonPublic Enrollment'!$G351*0.7374</f>
        <v>26.546400000000002</v>
      </c>
      <c r="I351" s="45">
        <v>0</v>
      </c>
      <c r="J351" s="45">
        <f>'NonPublic Enrollment'!$I351*0.2906</f>
        <v>0</v>
      </c>
      <c r="K351" s="45">
        <f>'NonPublic Enrollment'!$D351+'NonPublic Enrollment'!$F351+'NonPublic Enrollment'!$H351+'NonPublic Enrollment'!$J351</f>
        <v>676.3463999999999</v>
      </c>
      <c r="L351" s="39" t="s">
        <v>2562</v>
      </c>
    </row>
    <row r="352" spans="1:12">
      <c r="A352" s="36" t="s">
        <v>2561</v>
      </c>
      <c r="B352" s="36" t="str">
        <f>"058206"</f>
        <v>058206</v>
      </c>
      <c r="C352" s="36" t="s">
        <v>2910</v>
      </c>
      <c r="D352" s="44">
        <v>235</v>
      </c>
      <c r="E352" s="44">
        <v>48</v>
      </c>
      <c r="F352" s="44">
        <f>'NonPublic Enrollment'!$E352*0.1</f>
        <v>4.8000000000000007</v>
      </c>
      <c r="G352" s="44">
        <v>36</v>
      </c>
      <c r="H352" s="44">
        <f>'NonPublic Enrollment'!$G352*0.7374</f>
        <v>26.546400000000002</v>
      </c>
      <c r="I352" s="44">
        <v>0</v>
      </c>
      <c r="J352" s="44">
        <f>'NonPublic Enrollment'!$I352*0.2906</f>
        <v>0</v>
      </c>
      <c r="K352" s="44">
        <f>'NonPublic Enrollment'!$D352+'NonPublic Enrollment'!$F352+'NonPublic Enrollment'!$H352+'NonPublic Enrollment'!$J352</f>
        <v>266.34640000000002</v>
      </c>
      <c r="L352" s="37" t="s">
        <v>2591</v>
      </c>
    </row>
    <row r="353" spans="1:12">
      <c r="A353" s="38" t="s">
        <v>2561</v>
      </c>
      <c r="B353" s="38" t="str">
        <f>"053785"</f>
        <v>053785</v>
      </c>
      <c r="C353" s="38" t="s">
        <v>2909</v>
      </c>
      <c r="D353" s="45">
        <v>203</v>
      </c>
      <c r="E353" s="45">
        <v>63</v>
      </c>
      <c r="F353" s="45">
        <f>'NonPublic Enrollment'!$E353*0.1</f>
        <v>6.3000000000000007</v>
      </c>
      <c r="G353" s="45">
        <v>36</v>
      </c>
      <c r="H353" s="45">
        <f>'NonPublic Enrollment'!$G353*0.7374</f>
        <v>26.546400000000002</v>
      </c>
      <c r="I353" s="45">
        <v>0</v>
      </c>
      <c r="J353" s="45">
        <f>'NonPublic Enrollment'!$I353*0.2906</f>
        <v>0</v>
      </c>
      <c r="K353" s="45">
        <f>'NonPublic Enrollment'!$D353+'NonPublic Enrollment'!$F353+'NonPublic Enrollment'!$H353+'NonPublic Enrollment'!$J353</f>
        <v>235.84640000000002</v>
      </c>
      <c r="L353" s="39" t="s">
        <v>2580</v>
      </c>
    </row>
    <row r="354" spans="1:12">
      <c r="A354" s="36" t="s">
        <v>2561</v>
      </c>
      <c r="B354" s="36" t="str">
        <f>"052662"</f>
        <v>052662</v>
      </c>
      <c r="C354" s="36" t="s">
        <v>2908</v>
      </c>
      <c r="D354" s="44">
        <v>296</v>
      </c>
      <c r="E354" s="44">
        <v>118</v>
      </c>
      <c r="F354" s="44">
        <f>'NonPublic Enrollment'!$E354*0.1</f>
        <v>11.8</v>
      </c>
      <c r="G354" s="44">
        <v>36</v>
      </c>
      <c r="H354" s="44">
        <f>'NonPublic Enrollment'!$G354*0.7374</f>
        <v>26.546400000000002</v>
      </c>
      <c r="I354" s="44">
        <v>0</v>
      </c>
      <c r="J354" s="44">
        <f>'NonPublic Enrollment'!$I354*0.2906</f>
        <v>0</v>
      </c>
      <c r="K354" s="44">
        <f>'NonPublic Enrollment'!$D354+'NonPublic Enrollment'!$F354+'NonPublic Enrollment'!$H354+'NonPublic Enrollment'!$J354</f>
        <v>334.34640000000002</v>
      </c>
      <c r="L354" s="37" t="s">
        <v>2562</v>
      </c>
    </row>
    <row r="355" spans="1:12">
      <c r="A355" s="38" t="s">
        <v>2561</v>
      </c>
      <c r="B355" s="38" t="str">
        <f>"053827"</f>
        <v>053827</v>
      </c>
      <c r="C355" s="38" t="s">
        <v>2907</v>
      </c>
      <c r="D355" s="45">
        <v>322</v>
      </c>
      <c r="E355" s="45">
        <v>134</v>
      </c>
      <c r="F355" s="45">
        <f>'NonPublic Enrollment'!$E355*0.1</f>
        <v>13.4</v>
      </c>
      <c r="G355" s="45">
        <v>36</v>
      </c>
      <c r="H355" s="45">
        <f>'NonPublic Enrollment'!$G355*0.7374</f>
        <v>26.546400000000002</v>
      </c>
      <c r="I355" s="45">
        <v>0</v>
      </c>
      <c r="J355" s="45">
        <f>'NonPublic Enrollment'!$I355*0.2906</f>
        <v>0</v>
      </c>
      <c r="K355" s="45">
        <f>'NonPublic Enrollment'!$D355+'NonPublic Enrollment'!$F355+'NonPublic Enrollment'!$H355+'NonPublic Enrollment'!$J355</f>
        <v>361.94639999999998</v>
      </c>
      <c r="L355" s="39" t="s">
        <v>2562</v>
      </c>
    </row>
    <row r="356" spans="1:12">
      <c r="A356" s="36" t="s">
        <v>2561</v>
      </c>
      <c r="B356" s="36" t="str">
        <f>"058065"</f>
        <v>058065</v>
      </c>
      <c r="C356" s="36" t="s">
        <v>2906</v>
      </c>
      <c r="D356" s="44">
        <v>569</v>
      </c>
      <c r="E356" s="44">
        <v>0</v>
      </c>
      <c r="F356" s="44">
        <f>'NonPublic Enrollment'!$E356*0.1</f>
        <v>0</v>
      </c>
      <c r="G356" s="44">
        <v>36</v>
      </c>
      <c r="H356" s="44">
        <f>'NonPublic Enrollment'!$G356*0.7374</f>
        <v>26.546400000000002</v>
      </c>
      <c r="I356" s="44">
        <v>0</v>
      </c>
      <c r="J356" s="44">
        <f>'NonPublic Enrollment'!$I356*0.2906</f>
        <v>0</v>
      </c>
      <c r="K356" s="44">
        <f>'NonPublic Enrollment'!$D356+'NonPublic Enrollment'!$F356+'NonPublic Enrollment'!$H356+'NonPublic Enrollment'!$J356</f>
        <v>595.54639999999995</v>
      </c>
      <c r="L356" s="37" t="s">
        <v>2591</v>
      </c>
    </row>
    <row r="357" spans="1:12">
      <c r="A357" s="38" t="s">
        <v>2561</v>
      </c>
      <c r="B357" s="38" t="str">
        <f>"057844"</f>
        <v>057844</v>
      </c>
      <c r="C357" s="38" t="s">
        <v>2905</v>
      </c>
      <c r="D357" s="45">
        <v>245</v>
      </c>
      <c r="E357" s="45">
        <v>10</v>
      </c>
      <c r="F357" s="45">
        <f>'NonPublic Enrollment'!$E357*0.1</f>
        <v>1</v>
      </c>
      <c r="G357" s="45">
        <v>35</v>
      </c>
      <c r="H357" s="45">
        <f>'NonPublic Enrollment'!$G357*0.7374</f>
        <v>25.809000000000001</v>
      </c>
      <c r="I357" s="45">
        <v>0</v>
      </c>
      <c r="J357" s="45">
        <f>'NonPublic Enrollment'!$I357*0.2906</f>
        <v>0</v>
      </c>
      <c r="K357" s="45">
        <f>'NonPublic Enrollment'!$D357+'NonPublic Enrollment'!$F357+'NonPublic Enrollment'!$H357+'NonPublic Enrollment'!$J357</f>
        <v>271.80900000000003</v>
      </c>
      <c r="L357" s="39" t="s">
        <v>2562</v>
      </c>
    </row>
    <row r="358" spans="1:12">
      <c r="A358" s="36" t="s">
        <v>2561</v>
      </c>
      <c r="B358" s="36" t="str">
        <f>"057521"</f>
        <v>057521</v>
      </c>
      <c r="C358" s="36" t="s">
        <v>2904</v>
      </c>
      <c r="D358" s="44">
        <v>250</v>
      </c>
      <c r="E358" s="44">
        <v>35</v>
      </c>
      <c r="F358" s="44">
        <f>'NonPublic Enrollment'!$E358*0.1</f>
        <v>3.5</v>
      </c>
      <c r="G358" s="44">
        <v>35</v>
      </c>
      <c r="H358" s="44">
        <f>'NonPublic Enrollment'!$G358*0.7374</f>
        <v>25.809000000000001</v>
      </c>
      <c r="I358" s="44">
        <v>0</v>
      </c>
      <c r="J358" s="44">
        <f>'NonPublic Enrollment'!$I358*0.2906</f>
        <v>0</v>
      </c>
      <c r="K358" s="44">
        <f>'NonPublic Enrollment'!$D358+'NonPublic Enrollment'!$F358+'NonPublic Enrollment'!$H358+'NonPublic Enrollment'!$J358</f>
        <v>279.30900000000003</v>
      </c>
      <c r="L358" s="37" t="s">
        <v>2586</v>
      </c>
    </row>
    <row r="359" spans="1:12">
      <c r="A359" s="38" t="s">
        <v>2561</v>
      </c>
      <c r="B359" s="38" t="str">
        <f>"052969"</f>
        <v>052969</v>
      </c>
      <c r="C359" s="38" t="s">
        <v>2903</v>
      </c>
      <c r="D359" s="45">
        <v>417</v>
      </c>
      <c r="E359" s="45">
        <v>41</v>
      </c>
      <c r="F359" s="45">
        <f>'NonPublic Enrollment'!$E359*0.1</f>
        <v>4.1000000000000005</v>
      </c>
      <c r="G359" s="45">
        <v>35</v>
      </c>
      <c r="H359" s="45">
        <f>'NonPublic Enrollment'!$G359*0.7374</f>
        <v>25.809000000000001</v>
      </c>
      <c r="I359" s="45">
        <v>0</v>
      </c>
      <c r="J359" s="45">
        <f>'NonPublic Enrollment'!$I359*0.2906</f>
        <v>0</v>
      </c>
      <c r="K359" s="45">
        <f>'NonPublic Enrollment'!$D359+'NonPublic Enrollment'!$F359+'NonPublic Enrollment'!$H359+'NonPublic Enrollment'!$J359</f>
        <v>446.90900000000005</v>
      </c>
      <c r="L359" s="39" t="s">
        <v>2586</v>
      </c>
    </row>
    <row r="360" spans="1:12">
      <c r="A360" s="36" t="s">
        <v>2561</v>
      </c>
      <c r="B360" s="36" t="str">
        <f>"132498"</f>
        <v>132498</v>
      </c>
      <c r="C360" s="36" t="s">
        <v>2902</v>
      </c>
      <c r="D360" s="44">
        <v>142</v>
      </c>
      <c r="E360" s="44">
        <v>57</v>
      </c>
      <c r="F360" s="44">
        <f>'NonPublic Enrollment'!$E360*0.1</f>
        <v>5.7</v>
      </c>
      <c r="G360" s="44">
        <v>35</v>
      </c>
      <c r="H360" s="44">
        <f>'NonPublic Enrollment'!$G360*0.7374</f>
        <v>25.809000000000001</v>
      </c>
      <c r="I360" s="44">
        <v>0</v>
      </c>
      <c r="J360" s="44">
        <f>'NonPublic Enrollment'!$I360*0.2906</f>
        <v>0</v>
      </c>
      <c r="K360" s="44">
        <f>'NonPublic Enrollment'!$D360+'NonPublic Enrollment'!$F360+'NonPublic Enrollment'!$H360+'NonPublic Enrollment'!$J360</f>
        <v>173.50899999999999</v>
      </c>
      <c r="L360" s="37" t="s">
        <v>2562</v>
      </c>
    </row>
    <row r="361" spans="1:12">
      <c r="A361" s="38" t="s">
        <v>2561</v>
      </c>
      <c r="B361" s="38" t="str">
        <f>"053769"</f>
        <v>053769</v>
      </c>
      <c r="C361" s="38" t="s">
        <v>2901</v>
      </c>
      <c r="D361" s="45">
        <v>647</v>
      </c>
      <c r="E361" s="45">
        <v>125</v>
      </c>
      <c r="F361" s="45">
        <f>'NonPublic Enrollment'!$E361*0.1</f>
        <v>12.5</v>
      </c>
      <c r="G361" s="45">
        <v>35</v>
      </c>
      <c r="H361" s="45">
        <f>'NonPublic Enrollment'!$G361*0.7374</f>
        <v>25.809000000000001</v>
      </c>
      <c r="I361" s="45">
        <v>0</v>
      </c>
      <c r="J361" s="45">
        <f>'NonPublic Enrollment'!$I361*0.2906</f>
        <v>0</v>
      </c>
      <c r="K361" s="45">
        <f>'NonPublic Enrollment'!$D361+'NonPublic Enrollment'!$F361+'NonPublic Enrollment'!$H361+'NonPublic Enrollment'!$J361</f>
        <v>685.30899999999997</v>
      </c>
      <c r="L361" s="39" t="s">
        <v>2562</v>
      </c>
    </row>
    <row r="362" spans="1:12">
      <c r="A362" s="36" t="s">
        <v>2561</v>
      </c>
      <c r="B362" s="36" t="str">
        <f>"122465"</f>
        <v>122465</v>
      </c>
      <c r="C362" s="36" t="s">
        <v>2900</v>
      </c>
      <c r="D362" s="44">
        <v>33</v>
      </c>
      <c r="E362" s="44">
        <v>0</v>
      </c>
      <c r="F362" s="44">
        <f>'NonPublic Enrollment'!$E362*0.1</f>
        <v>0</v>
      </c>
      <c r="G362" s="44">
        <v>35</v>
      </c>
      <c r="H362" s="44">
        <f>'NonPublic Enrollment'!$G362*0.7374</f>
        <v>25.809000000000001</v>
      </c>
      <c r="I362" s="44">
        <v>0</v>
      </c>
      <c r="J362" s="44">
        <f>'NonPublic Enrollment'!$I362*0.2906</f>
        <v>0</v>
      </c>
      <c r="K362" s="44">
        <f>'NonPublic Enrollment'!$D362+'NonPublic Enrollment'!$F362+'NonPublic Enrollment'!$H362+'NonPublic Enrollment'!$J362</f>
        <v>58.808999999999997</v>
      </c>
      <c r="L362" s="37" t="s">
        <v>2572</v>
      </c>
    </row>
    <row r="363" spans="1:12">
      <c r="A363" s="38" t="s">
        <v>2561</v>
      </c>
      <c r="B363" s="38" t="str">
        <f>"056713"</f>
        <v>056713</v>
      </c>
      <c r="C363" s="38" t="s">
        <v>2863</v>
      </c>
      <c r="D363" s="45">
        <v>806</v>
      </c>
      <c r="E363" s="45">
        <v>33</v>
      </c>
      <c r="F363" s="45">
        <f>'NonPublic Enrollment'!$E363*0.1</f>
        <v>3.3000000000000003</v>
      </c>
      <c r="G363" s="45">
        <v>34</v>
      </c>
      <c r="H363" s="45">
        <f>'NonPublic Enrollment'!$G363*0.7374</f>
        <v>25.071600000000004</v>
      </c>
      <c r="I363" s="45">
        <v>0</v>
      </c>
      <c r="J363" s="45">
        <f>'NonPublic Enrollment'!$I363*0.2906</f>
        <v>0</v>
      </c>
      <c r="K363" s="45">
        <f>'NonPublic Enrollment'!$D363+'NonPublic Enrollment'!$F363+'NonPublic Enrollment'!$H363+'NonPublic Enrollment'!$J363</f>
        <v>834.37159999999994</v>
      </c>
      <c r="L363" s="39" t="s">
        <v>2569</v>
      </c>
    </row>
    <row r="364" spans="1:12">
      <c r="A364" s="36" t="s">
        <v>2561</v>
      </c>
      <c r="B364" s="36" t="str">
        <f>"057133"</f>
        <v>057133</v>
      </c>
      <c r="C364" s="36" t="s">
        <v>2714</v>
      </c>
      <c r="D364" s="44">
        <v>476</v>
      </c>
      <c r="E364" s="44">
        <v>0</v>
      </c>
      <c r="F364" s="44">
        <f>'NonPublic Enrollment'!$E364*0.1</f>
        <v>0</v>
      </c>
      <c r="G364" s="44">
        <v>34</v>
      </c>
      <c r="H364" s="44">
        <f>'NonPublic Enrollment'!$G364*0.7374</f>
        <v>25.071600000000004</v>
      </c>
      <c r="I364" s="44">
        <v>0</v>
      </c>
      <c r="J364" s="44">
        <f>'NonPublic Enrollment'!$I364*0.2906</f>
        <v>0</v>
      </c>
      <c r="K364" s="44">
        <f>'NonPublic Enrollment'!$D364+'NonPublic Enrollment'!$F364+'NonPublic Enrollment'!$H364+'NonPublic Enrollment'!$J364</f>
        <v>501.07159999999999</v>
      </c>
      <c r="L364" s="37" t="s">
        <v>2586</v>
      </c>
    </row>
    <row r="365" spans="1:12">
      <c r="A365" s="38" t="s">
        <v>2561</v>
      </c>
      <c r="B365" s="38" t="str">
        <f>"112227"</f>
        <v>112227</v>
      </c>
      <c r="C365" s="38" t="s">
        <v>2899</v>
      </c>
      <c r="D365" s="45">
        <v>644</v>
      </c>
      <c r="E365" s="45">
        <v>0</v>
      </c>
      <c r="F365" s="45">
        <f>'NonPublic Enrollment'!$E365*0.1</f>
        <v>0</v>
      </c>
      <c r="G365" s="45">
        <v>34</v>
      </c>
      <c r="H365" s="45">
        <f>'NonPublic Enrollment'!$G365*0.7374</f>
        <v>25.071600000000004</v>
      </c>
      <c r="I365" s="45">
        <v>0</v>
      </c>
      <c r="J365" s="45">
        <f>'NonPublic Enrollment'!$I365*0.2906</f>
        <v>0</v>
      </c>
      <c r="K365" s="45">
        <f>'NonPublic Enrollment'!$D365+'NonPublic Enrollment'!$F365+'NonPublic Enrollment'!$H365+'NonPublic Enrollment'!$J365</f>
        <v>669.07159999999999</v>
      </c>
      <c r="L365" s="39" t="s">
        <v>2569</v>
      </c>
    </row>
    <row r="366" spans="1:12">
      <c r="A366" s="36" t="s">
        <v>2561</v>
      </c>
      <c r="B366" s="36" t="str">
        <f>"096297"</f>
        <v>096297</v>
      </c>
      <c r="C366" s="36" t="s">
        <v>2898</v>
      </c>
      <c r="D366" s="44">
        <v>543</v>
      </c>
      <c r="E366" s="44">
        <v>5</v>
      </c>
      <c r="F366" s="44">
        <f>'NonPublic Enrollment'!$E366*0.1</f>
        <v>0.5</v>
      </c>
      <c r="G366" s="44">
        <v>33</v>
      </c>
      <c r="H366" s="44">
        <f>'NonPublic Enrollment'!$G366*0.7374</f>
        <v>24.334200000000003</v>
      </c>
      <c r="I366" s="44">
        <v>0</v>
      </c>
      <c r="J366" s="44">
        <f>'NonPublic Enrollment'!$I366*0.2906</f>
        <v>0</v>
      </c>
      <c r="K366" s="44">
        <f>'NonPublic Enrollment'!$D366+'NonPublic Enrollment'!$F366+'NonPublic Enrollment'!$H366+'NonPublic Enrollment'!$J366</f>
        <v>567.83420000000001</v>
      </c>
      <c r="L366" s="37" t="s">
        <v>2591</v>
      </c>
    </row>
    <row r="367" spans="1:12">
      <c r="A367" s="38" t="s">
        <v>2561</v>
      </c>
      <c r="B367" s="38" t="str">
        <f>"057778"</f>
        <v>057778</v>
      </c>
      <c r="C367" s="38" t="s">
        <v>2897</v>
      </c>
      <c r="D367" s="45">
        <v>422</v>
      </c>
      <c r="E367" s="45">
        <v>6</v>
      </c>
      <c r="F367" s="45">
        <f>'NonPublic Enrollment'!$E367*0.1</f>
        <v>0.60000000000000009</v>
      </c>
      <c r="G367" s="45">
        <v>33</v>
      </c>
      <c r="H367" s="45">
        <f>'NonPublic Enrollment'!$G367*0.7374</f>
        <v>24.334200000000003</v>
      </c>
      <c r="I367" s="45">
        <v>0</v>
      </c>
      <c r="J367" s="45">
        <f>'NonPublic Enrollment'!$I367*0.2906</f>
        <v>0</v>
      </c>
      <c r="K367" s="45">
        <f>'NonPublic Enrollment'!$D367+'NonPublic Enrollment'!$F367+'NonPublic Enrollment'!$H367+'NonPublic Enrollment'!$J367</f>
        <v>446.93420000000003</v>
      </c>
      <c r="L367" s="39" t="s">
        <v>2562</v>
      </c>
    </row>
    <row r="368" spans="1:12">
      <c r="A368" s="36" t="s">
        <v>2561</v>
      </c>
      <c r="B368" s="36" t="str">
        <f>"053272"</f>
        <v>053272</v>
      </c>
      <c r="C368" s="36" t="s">
        <v>2896</v>
      </c>
      <c r="D368" s="44">
        <v>558</v>
      </c>
      <c r="E368" s="44">
        <v>75</v>
      </c>
      <c r="F368" s="44">
        <f>'NonPublic Enrollment'!$E368*0.1</f>
        <v>7.5</v>
      </c>
      <c r="G368" s="44">
        <v>33</v>
      </c>
      <c r="H368" s="44">
        <f>'NonPublic Enrollment'!$G368*0.7374</f>
        <v>24.334200000000003</v>
      </c>
      <c r="I368" s="44">
        <v>0</v>
      </c>
      <c r="J368" s="44">
        <f>'NonPublic Enrollment'!$I368*0.2906</f>
        <v>0</v>
      </c>
      <c r="K368" s="44">
        <f>'NonPublic Enrollment'!$D368+'NonPublic Enrollment'!$F368+'NonPublic Enrollment'!$H368+'NonPublic Enrollment'!$J368</f>
        <v>589.83420000000001</v>
      </c>
      <c r="L368" s="37" t="s">
        <v>2562</v>
      </c>
    </row>
    <row r="369" spans="1:12">
      <c r="A369" s="38" t="s">
        <v>2561</v>
      </c>
      <c r="B369" s="38" t="str">
        <f>"052787"</f>
        <v>052787</v>
      </c>
      <c r="C369" s="38" t="s">
        <v>2895</v>
      </c>
      <c r="D369" s="45">
        <v>352</v>
      </c>
      <c r="E369" s="45">
        <v>115</v>
      </c>
      <c r="F369" s="45">
        <f>'NonPublic Enrollment'!$E369*0.1</f>
        <v>11.5</v>
      </c>
      <c r="G369" s="45">
        <v>33</v>
      </c>
      <c r="H369" s="45">
        <f>'NonPublic Enrollment'!$G369*0.7374</f>
        <v>24.334200000000003</v>
      </c>
      <c r="I369" s="45">
        <v>0</v>
      </c>
      <c r="J369" s="45">
        <f>'NonPublic Enrollment'!$I369*0.2906</f>
        <v>0</v>
      </c>
      <c r="K369" s="45">
        <f>'NonPublic Enrollment'!$D369+'NonPublic Enrollment'!$F369+'NonPublic Enrollment'!$H369+'NonPublic Enrollment'!$J369</f>
        <v>387.83420000000001</v>
      </c>
      <c r="L369" s="39" t="s">
        <v>2591</v>
      </c>
    </row>
    <row r="370" spans="1:12">
      <c r="A370" s="36" t="s">
        <v>2561</v>
      </c>
      <c r="B370" s="36" t="str">
        <f>"054585"</f>
        <v>054585</v>
      </c>
      <c r="C370" s="36" t="s">
        <v>2894</v>
      </c>
      <c r="D370" s="44">
        <v>731</v>
      </c>
      <c r="E370" s="44">
        <v>0</v>
      </c>
      <c r="F370" s="44">
        <f>'NonPublic Enrollment'!$E370*0.1</f>
        <v>0</v>
      </c>
      <c r="G370" s="44">
        <v>33</v>
      </c>
      <c r="H370" s="44">
        <f>'NonPublic Enrollment'!$G370*0.7374</f>
        <v>24.334200000000003</v>
      </c>
      <c r="I370" s="44">
        <v>0</v>
      </c>
      <c r="J370" s="44">
        <f>'NonPublic Enrollment'!$I370*0.2906</f>
        <v>0</v>
      </c>
      <c r="K370" s="44">
        <f>'NonPublic Enrollment'!$D370+'NonPublic Enrollment'!$F370+'NonPublic Enrollment'!$H370+'NonPublic Enrollment'!$J370</f>
        <v>755.33420000000001</v>
      </c>
      <c r="L370" s="37" t="s">
        <v>2591</v>
      </c>
    </row>
    <row r="371" spans="1:12">
      <c r="A371" s="38" t="s">
        <v>2561</v>
      </c>
      <c r="B371" s="38" t="str">
        <f>"064394"</f>
        <v>064394</v>
      </c>
      <c r="C371" s="38" t="s">
        <v>2893</v>
      </c>
      <c r="D371" s="45">
        <v>506</v>
      </c>
      <c r="E371" s="45">
        <v>77</v>
      </c>
      <c r="F371" s="45">
        <f>'NonPublic Enrollment'!$E371*0.1</f>
        <v>7.7</v>
      </c>
      <c r="G371" s="45">
        <v>32</v>
      </c>
      <c r="H371" s="45">
        <f>'NonPublic Enrollment'!$G371*0.7374</f>
        <v>23.596800000000002</v>
      </c>
      <c r="I371" s="45">
        <v>0</v>
      </c>
      <c r="J371" s="45">
        <f>'NonPublic Enrollment'!$I371*0.2906</f>
        <v>0</v>
      </c>
      <c r="K371" s="45">
        <f>'NonPublic Enrollment'!$D371+'NonPublic Enrollment'!$F371+'NonPublic Enrollment'!$H371+'NonPublic Enrollment'!$J371</f>
        <v>537.29680000000008</v>
      </c>
      <c r="L371" s="39" t="s">
        <v>2562</v>
      </c>
    </row>
    <row r="372" spans="1:12">
      <c r="A372" s="36" t="s">
        <v>2561</v>
      </c>
      <c r="B372" s="36" t="str">
        <f>"058677"</f>
        <v>058677</v>
      </c>
      <c r="C372" s="36" t="s">
        <v>2892</v>
      </c>
      <c r="D372" s="44">
        <v>235</v>
      </c>
      <c r="E372" s="44">
        <v>88</v>
      </c>
      <c r="F372" s="44">
        <f>'NonPublic Enrollment'!$E372*0.1</f>
        <v>8.8000000000000007</v>
      </c>
      <c r="G372" s="44">
        <v>32</v>
      </c>
      <c r="H372" s="44">
        <f>'NonPublic Enrollment'!$G372*0.7374</f>
        <v>23.596800000000002</v>
      </c>
      <c r="I372" s="44">
        <v>0</v>
      </c>
      <c r="J372" s="44">
        <f>'NonPublic Enrollment'!$I372*0.2906</f>
        <v>0</v>
      </c>
      <c r="K372" s="44">
        <f>'NonPublic Enrollment'!$D372+'NonPublic Enrollment'!$F372+'NonPublic Enrollment'!$H372+'NonPublic Enrollment'!$J372</f>
        <v>267.39679999999998</v>
      </c>
      <c r="L372" s="37" t="s">
        <v>2562</v>
      </c>
    </row>
    <row r="373" spans="1:12">
      <c r="A373" s="38" t="s">
        <v>2561</v>
      </c>
      <c r="B373" s="38" t="str">
        <f>"134510"</f>
        <v>134510</v>
      </c>
      <c r="C373" s="38" t="s">
        <v>2891</v>
      </c>
      <c r="D373" s="45">
        <v>446</v>
      </c>
      <c r="E373" s="45">
        <v>89</v>
      </c>
      <c r="F373" s="45">
        <f>'NonPublic Enrollment'!$E373*0.1</f>
        <v>8.9</v>
      </c>
      <c r="G373" s="45">
        <v>32</v>
      </c>
      <c r="H373" s="45">
        <f>'NonPublic Enrollment'!$G373*0.7374</f>
        <v>23.596800000000002</v>
      </c>
      <c r="I373" s="45">
        <v>0</v>
      </c>
      <c r="J373" s="45">
        <f>'NonPublic Enrollment'!$I373*0.2906</f>
        <v>0</v>
      </c>
      <c r="K373" s="45">
        <f>'NonPublic Enrollment'!$D373+'NonPublic Enrollment'!$F373+'NonPublic Enrollment'!$H373+'NonPublic Enrollment'!$J373</f>
        <v>478.49680000000001</v>
      </c>
      <c r="L373" s="39" t="s">
        <v>2569</v>
      </c>
    </row>
    <row r="374" spans="1:12">
      <c r="A374" s="36" t="s">
        <v>2561</v>
      </c>
      <c r="B374" s="36" t="str">
        <f>"052696"</f>
        <v>052696</v>
      </c>
      <c r="C374" s="36" t="s">
        <v>2890</v>
      </c>
      <c r="D374" s="44">
        <v>716</v>
      </c>
      <c r="E374" s="44">
        <v>189</v>
      </c>
      <c r="F374" s="44">
        <f>'NonPublic Enrollment'!$E374*0.1</f>
        <v>18.900000000000002</v>
      </c>
      <c r="G374" s="44">
        <v>32</v>
      </c>
      <c r="H374" s="44">
        <f>'NonPublic Enrollment'!$G374*0.7374</f>
        <v>23.596800000000002</v>
      </c>
      <c r="I374" s="44">
        <v>0</v>
      </c>
      <c r="J374" s="44">
        <f>'NonPublic Enrollment'!$I374*0.2906</f>
        <v>0</v>
      </c>
      <c r="K374" s="44">
        <f>'NonPublic Enrollment'!$D374+'NonPublic Enrollment'!$F374+'NonPublic Enrollment'!$H374+'NonPublic Enrollment'!$J374</f>
        <v>758.49680000000001</v>
      </c>
      <c r="L374" s="37" t="s">
        <v>2562</v>
      </c>
    </row>
    <row r="375" spans="1:12">
      <c r="A375" s="38" t="s">
        <v>2561</v>
      </c>
      <c r="B375" s="38" t="str">
        <f>"056861"</f>
        <v>056861</v>
      </c>
      <c r="C375" s="38" t="s">
        <v>2889</v>
      </c>
      <c r="D375" s="45">
        <v>632</v>
      </c>
      <c r="E375" s="45">
        <v>0</v>
      </c>
      <c r="F375" s="45">
        <f>'NonPublic Enrollment'!$E375*0.1</f>
        <v>0</v>
      </c>
      <c r="G375" s="45">
        <v>32</v>
      </c>
      <c r="H375" s="45">
        <f>'NonPublic Enrollment'!$G375*0.7374</f>
        <v>23.596800000000002</v>
      </c>
      <c r="I375" s="45">
        <v>0</v>
      </c>
      <c r="J375" s="45">
        <f>'NonPublic Enrollment'!$I375*0.2906</f>
        <v>0</v>
      </c>
      <c r="K375" s="45">
        <f>'NonPublic Enrollment'!$D375+'NonPublic Enrollment'!$F375+'NonPublic Enrollment'!$H375+'NonPublic Enrollment'!$J375</f>
        <v>655.59680000000003</v>
      </c>
      <c r="L375" s="39" t="s">
        <v>2569</v>
      </c>
    </row>
    <row r="376" spans="1:12">
      <c r="A376" s="36" t="s">
        <v>2561</v>
      </c>
      <c r="B376" s="36" t="str">
        <f>"052852"</f>
        <v>052852</v>
      </c>
      <c r="C376" s="36" t="s">
        <v>2775</v>
      </c>
      <c r="D376" s="44">
        <v>554</v>
      </c>
      <c r="E376" s="44">
        <v>168</v>
      </c>
      <c r="F376" s="44">
        <f>'NonPublic Enrollment'!$E376*0.1</f>
        <v>16.8</v>
      </c>
      <c r="G376" s="44">
        <v>31</v>
      </c>
      <c r="H376" s="44">
        <f>'NonPublic Enrollment'!$G376*0.7374</f>
        <v>22.859400000000001</v>
      </c>
      <c r="I376" s="44">
        <v>0</v>
      </c>
      <c r="J376" s="44">
        <f>'NonPublic Enrollment'!$I376*0.2906</f>
        <v>0</v>
      </c>
      <c r="K376" s="44">
        <f>'NonPublic Enrollment'!$D376+'NonPublic Enrollment'!$F376+'NonPublic Enrollment'!$H376+'NonPublic Enrollment'!$J376</f>
        <v>593.65940000000001</v>
      </c>
      <c r="L376" s="37" t="s">
        <v>2562</v>
      </c>
    </row>
    <row r="377" spans="1:12">
      <c r="A377" s="38" t="s">
        <v>2561</v>
      </c>
      <c r="B377" s="38" t="str">
        <f>"011492"</f>
        <v>011492</v>
      </c>
      <c r="C377" s="38" t="s">
        <v>2888</v>
      </c>
      <c r="D377" s="45">
        <v>178</v>
      </c>
      <c r="E377" s="45">
        <v>0</v>
      </c>
      <c r="F377" s="45">
        <f>'NonPublic Enrollment'!$E377*0.1</f>
        <v>0</v>
      </c>
      <c r="G377" s="45">
        <v>31</v>
      </c>
      <c r="H377" s="45">
        <f>'NonPublic Enrollment'!$G377*0.7374</f>
        <v>22.859400000000001</v>
      </c>
      <c r="I377" s="45">
        <v>0</v>
      </c>
      <c r="J377" s="45">
        <f>'NonPublic Enrollment'!$I377*0.2906</f>
        <v>0</v>
      </c>
      <c r="K377" s="45">
        <f>'NonPublic Enrollment'!$D377+'NonPublic Enrollment'!$F377+'NonPublic Enrollment'!$H377+'NonPublic Enrollment'!$J377</f>
        <v>200.85939999999999</v>
      </c>
      <c r="L377" s="39" t="s">
        <v>2562</v>
      </c>
    </row>
    <row r="378" spans="1:12">
      <c r="A378" s="36" t="s">
        <v>2561</v>
      </c>
      <c r="B378" s="36" t="str">
        <f>"058016"</f>
        <v>058016</v>
      </c>
      <c r="C378" s="36" t="s">
        <v>2689</v>
      </c>
      <c r="D378" s="44">
        <v>335</v>
      </c>
      <c r="E378" s="44">
        <v>0</v>
      </c>
      <c r="F378" s="44">
        <f>'NonPublic Enrollment'!$E378*0.1</f>
        <v>0</v>
      </c>
      <c r="G378" s="44">
        <v>30</v>
      </c>
      <c r="H378" s="44">
        <f>'NonPublic Enrollment'!$G378*0.7374</f>
        <v>22.122</v>
      </c>
      <c r="I378" s="44">
        <v>0</v>
      </c>
      <c r="J378" s="44">
        <f>'NonPublic Enrollment'!$I378*0.2906</f>
        <v>0</v>
      </c>
      <c r="K378" s="44">
        <f>'NonPublic Enrollment'!$D378+'NonPublic Enrollment'!$F378+'NonPublic Enrollment'!$H378+'NonPublic Enrollment'!$J378</f>
        <v>357.12200000000001</v>
      </c>
      <c r="L378" s="37" t="s">
        <v>2591</v>
      </c>
    </row>
    <row r="379" spans="1:12">
      <c r="A379" s="38" t="s">
        <v>2561</v>
      </c>
      <c r="B379" s="38" t="str">
        <f>"059089"</f>
        <v>059089</v>
      </c>
      <c r="C379" s="38" t="s">
        <v>2625</v>
      </c>
      <c r="D379" s="45">
        <v>248</v>
      </c>
      <c r="E379" s="45">
        <v>36</v>
      </c>
      <c r="F379" s="45">
        <f>'NonPublic Enrollment'!$E379*0.1</f>
        <v>3.6</v>
      </c>
      <c r="G379" s="45">
        <v>29</v>
      </c>
      <c r="H379" s="45">
        <f>'NonPublic Enrollment'!$G379*0.7374</f>
        <v>21.384600000000002</v>
      </c>
      <c r="I379" s="45">
        <v>0</v>
      </c>
      <c r="J379" s="45">
        <f>'NonPublic Enrollment'!$I379*0.2906</f>
        <v>0</v>
      </c>
      <c r="K379" s="45">
        <f>'NonPublic Enrollment'!$D379+'NonPublic Enrollment'!$F379+'NonPublic Enrollment'!$H379+'NonPublic Enrollment'!$J379</f>
        <v>272.9846</v>
      </c>
      <c r="L379" s="39" t="s">
        <v>2562</v>
      </c>
    </row>
    <row r="380" spans="1:12">
      <c r="A380" s="36" t="s">
        <v>2561</v>
      </c>
      <c r="B380" s="36" t="str">
        <f>"058305"</f>
        <v>058305</v>
      </c>
      <c r="C380" s="36" t="s">
        <v>2887</v>
      </c>
      <c r="D380" s="44">
        <v>299</v>
      </c>
      <c r="E380" s="44">
        <v>54</v>
      </c>
      <c r="F380" s="44">
        <f>'NonPublic Enrollment'!$E380*0.1</f>
        <v>5.4</v>
      </c>
      <c r="G380" s="44">
        <v>29</v>
      </c>
      <c r="H380" s="44">
        <f>'NonPublic Enrollment'!$G380*0.7374</f>
        <v>21.384600000000002</v>
      </c>
      <c r="I380" s="44">
        <v>0</v>
      </c>
      <c r="J380" s="44">
        <f>'NonPublic Enrollment'!$I380*0.2906</f>
        <v>0</v>
      </c>
      <c r="K380" s="44">
        <f>'NonPublic Enrollment'!$D380+'NonPublic Enrollment'!$F380+'NonPublic Enrollment'!$H380+'NonPublic Enrollment'!$J380</f>
        <v>325.78459999999995</v>
      </c>
      <c r="L380" s="37" t="s">
        <v>2586</v>
      </c>
    </row>
    <row r="381" spans="1:12">
      <c r="A381" s="38" t="s">
        <v>2561</v>
      </c>
      <c r="B381" s="38" t="str">
        <f>"053322"</f>
        <v>053322</v>
      </c>
      <c r="C381" s="38" t="s">
        <v>2886</v>
      </c>
      <c r="D381" s="45">
        <v>709</v>
      </c>
      <c r="E381" s="45">
        <v>0</v>
      </c>
      <c r="F381" s="45">
        <f>'NonPublic Enrollment'!$E381*0.1</f>
        <v>0</v>
      </c>
      <c r="G381" s="45">
        <v>29</v>
      </c>
      <c r="H381" s="45">
        <f>'NonPublic Enrollment'!$G381*0.7374</f>
        <v>21.384600000000002</v>
      </c>
      <c r="I381" s="45">
        <v>0</v>
      </c>
      <c r="J381" s="45">
        <f>'NonPublic Enrollment'!$I381*0.2906</f>
        <v>0</v>
      </c>
      <c r="K381" s="45">
        <f>'NonPublic Enrollment'!$D381+'NonPublic Enrollment'!$F381+'NonPublic Enrollment'!$H381+'NonPublic Enrollment'!$J381</f>
        <v>730.38459999999998</v>
      </c>
      <c r="L381" s="39" t="s">
        <v>2562</v>
      </c>
    </row>
    <row r="382" spans="1:12">
      <c r="A382" s="36" t="s">
        <v>2561</v>
      </c>
      <c r="B382" s="36" t="str">
        <f>"055566"</f>
        <v>055566</v>
      </c>
      <c r="C382" s="36" t="s">
        <v>2885</v>
      </c>
      <c r="D382" s="44">
        <v>673</v>
      </c>
      <c r="E382" s="44">
        <v>9</v>
      </c>
      <c r="F382" s="44">
        <f>'NonPublic Enrollment'!$E382*0.1</f>
        <v>0.9</v>
      </c>
      <c r="G382" s="44">
        <v>28</v>
      </c>
      <c r="H382" s="44">
        <f>'NonPublic Enrollment'!$G382*0.7374</f>
        <v>20.647200000000002</v>
      </c>
      <c r="I382" s="44">
        <v>0</v>
      </c>
      <c r="J382" s="44">
        <f>'NonPublic Enrollment'!$I382*0.2906</f>
        <v>0</v>
      </c>
      <c r="K382" s="44">
        <f>'NonPublic Enrollment'!$D382+'NonPublic Enrollment'!$F382+'NonPublic Enrollment'!$H382+'NonPublic Enrollment'!$J382</f>
        <v>694.54719999999998</v>
      </c>
      <c r="L382" s="37" t="s">
        <v>2562</v>
      </c>
    </row>
    <row r="383" spans="1:12">
      <c r="A383" s="38" t="s">
        <v>2561</v>
      </c>
      <c r="B383" s="38" t="str">
        <f>"054809"</f>
        <v>054809</v>
      </c>
      <c r="C383" s="38" t="s">
        <v>2884</v>
      </c>
      <c r="D383" s="45">
        <v>406</v>
      </c>
      <c r="E383" s="45">
        <v>73</v>
      </c>
      <c r="F383" s="45">
        <f>'NonPublic Enrollment'!$E383*0.1</f>
        <v>7.3000000000000007</v>
      </c>
      <c r="G383" s="45">
        <v>28</v>
      </c>
      <c r="H383" s="45">
        <f>'NonPublic Enrollment'!$G383*0.7374</f>
        <v>20.647200000000002</v>
      </c>
      <c r="I383" s="45">
        <v>0</v>
      </c>
      <c r="J383" s="45">
        <f>'NonPublic Enrollment'!$I383*0.2906</f>
        <v>0</v>
      </c>
      <c r="K383" s="45">
        <f>'NonPublic Enrollment'!$D383+'NonPublic Enrollment'!$F383+'NonPublic Enrollment'!$H383+'NonPublic Enrollment'!$J383</f>
        <v>433.94720000000001</v>
      </c>
      <c r="L383" s="39" t="s">
        <v>2591</v>
      </c>
    </row>
    <row r="384" spans="1:12">
      <c r="A384" s="36" t="s">
        <v>2561</v>
      </c>
      <c r="B384" s="36" t="str">
        <f>"058875"</f>
        <v>058875</v>
      </c>
      <c r="C384" s="36" t="s">
        <v>2866</v>
      </c>
      <c r="D384" s="44">
        <v>382</v>
      </c>
      <c r="E384" s="44">
        <v>85</v>
      </c>
      <c r="F384" s="44">
        <f>'NonPublic Enrollment'!$E384*0.1</f>
        <v>8.5</v>
      </c>
      <c r="G384" s="44">
        <v>28</v>
      </c>
      <c r="H384" s="44">
        <f>'NonPublic Enrollment'!$G384*0.7374</f>
        <v>20.647200000000002</v>
      </c>
      <c r="I384" s="44">
        <v>0</v>
      </c>
      <c r="J384" s="44">
        <f>'NonPublic Enrollment'!$I384*0.2906</f>
        <v>0</v>
      </c>
      <c r="K384" s="44">
        <f>'NonPublic Enrollment'!$D384+'NonPublic Enrollment'!$F384+'NonPublic Enrollment'!$H384+'NonPublic Enrollment'!$J384</f>
        <v>411.1472</v>
      </c>
      <c r="L384" s="37" t="s">
        <v>2562</v>
      </c>
    </row>
    <row r="385" spans="1:12">
      <c r="A385" s="38" t="s">
        <v>2561</v>
      </c>
      <c r="B385" s="38" t="str">
        <f>"058685"</f>
        <v>058685</v>
      </c>
      <c r="C385" s="38" t="s">
        <v>2708</v>
      </c>
      <c r="D385" s="45">
        <v>180</v>
      </c>
      <c r="E385" s="45">
        <v>90</v>
      </c>
      <c r="F385" s="45">
        <f>'NonPublic Enrollment'!$E385*0.1</f>
        <v>9</v>
      </c>
      <c r="G385" s="45">
        <v>28</v>
      </c>
      <c r="H385" s="45">
        <f>'NonPublic Enrollment'!$G385*0.7374</f>
        <v>20.647200000000002</v>
      </c>
      <c r="I385" s="45">
        <v>0</v>
      </c>
      <c r="J385" s="45">
        <f>'NonPublic Enrollment'!$I385*0.2906</f>
        <v>0</v>
      </c>
      <c r="K385" s="45">
        <f>'NonPublic Enrollment'!$D385+'NonPublic Enrollment'!$F385+'NonPublic Enrollment'!$H385+'NonPublic Enrollment'!$J385</f>
        <v>209.6472</v>
      </c>
      <c r="L385" s="39" t="s">
        <v>2591</v>
      </c>
    </row>
    <row r="386" spans="1:12">
      <c r="A386" s="36" t="s">
        <v>2561</v>
      </c>
      <c r="B386" s="36" t="str">
        <f>"052977"</f>
        <v>052977</v>
      </c>
      <c r="C386" s="36" t="s">
        <v>2883</v>
      </c>
      <c r="D386" s="44">
        <v>509</v>
      </c>
      <c r="E386" s="44">
        <v>0</v>
      </c>
      <c r="F386" s="44">
        <f>'NonPublic Enrollment'!$E386*0.1</f>
        <v>0</v>
      </c>
      <c r="G386" s="44">
        <v>28</v>
      </c>
      <c r="H386" s="44">
        <f>'NonPublic Enrollment'!$G386*0.7374</f>
        <v>20.647200000000002</v>
      </c>
      <c r="I386" s="44">
        <v>0</v>
      </c>
      <c r="J386" s="44">
        <f>'NonPublic Enrollment'!$I386*0.2906</f>
        <v>0</v>
      </c>
      <c r="K386" s="44">
        <f>'NonPublic Enrollment'!$D386+'NonPublic Enrollment'!$F386+'NonPublic Enrollment'!$H386+'NonPublic Enrollment'!$J386</f>
        <v>529.6472</v>
      </c>
      <c r="L386" s="37" t="s">
        <v>2591</v>
      </c>
    </row>
    <row r="387" spans="1:12">
      <c r="A387" s="38" t="s">
        <v>2561</v>
      </c>
      <c r="B387" s="38" t="str">
        <f>"067538"</f>
        <v>067538</v>
      </c>
      <c r="C387" s="38" t="s">
        <v>2882</v>
      </c>
      <c r="D387" s="45">
        <v>288</v>
      </c>
      <c r="E387" s="45">
        <v>0</v>
      </c>
      <c r="F387" s="45">
        <f>'NonPublic Enrollment'!$E387*0.1</f>
        <v>0</v>
      </c>
      <c r="G387" s="45">
        <v>28</v>
      </c>
      <c r="H387" s="45">
        <f>'NonPublic Enrollment'!$G387*0.7374</f>
        <v>20.647200000000002</v>
      </c>
      <c r="I387" s="45">
        <v>0</v>
      </c>
      <c r="J387" s="45">
        <f>'NonPublic Enrollment'!$I387*0.2906</f>
        <v>0</v>
      </c>
      <c r="K387" s="45">
        <f>'NonPublic Enrollment'!$D387+'NonPublic Enrollment'!$F387+'NonPublic Enrollment'!$H387+'NonPublic Enrollment'!$J387</f>
        <v>308.6472</v>
      </c>
      <c r="L387" s="39" t="s">
        <v>2569</v>
      </c>
    </row>
    <row r="388" spans="1:12">
      <c r="A388" s="36" t="s">
        <v>2561</v>
      </c>
      <c r="B388" s="36" t="str">
        <f>"093757"</f>
        <v>093757</v>
      </c>
      <c r="C388" s="36" t="s">
        <v>2881</v>
      </c>
      <c r="D388" s="44">
        <v>375</v>
      </c>
      <c r="E388" s="44">
        <v>0</v>
      </c>
      <c r="F388" s="44">
        <f>'NonPublic Enrollment'!$E388*0.1</f>
        <v>0</v>
      </c>
      <c r="G388" s="44">
        <v>28</v>
      </c>
      <c r="H388" s="44">
        <f>'NonPublic Enrollment'!$G388*0.7374</f>
        <v>20.647200000000002</v>
      </c>
      <c r="I388" s="44">
        <v>0</v>
      </c>
      <c r="J388" s="44">
        <f>'NonPublic Enrollment'!$I388*0.2906</f>
        <v>0</v>
      </c>
      <c r="K388" s="44">
        <f>'NonPublic Enrollment'!$D388+'NonPublic Enrollment'!$F388+'NonPublic Enrollment'!$H388+'NonPublic Enrollment'!$J388</f>
        <v>395.6472</v>
      </c>
      <c r="L388" s="37" t="s">
        <v>2562</v>
      </c>
    </row>
    <row r="389" spans="1:12">
      <c r="A389" s="38" t="s">
        <v>2561</v>
      </c>
      <c r="B389" s="38" t="str">
        <f>"065755"</f>
        <v>065755</v>
      </c>
      <c r="C389" s="38" t="s">
        <v>2880</v>
      </c>
      <c r="D389" s="45">
        <v>307</v>
      </c>
      <c r="E389" s="45">
        <v>39</v>
      </c>
      <c r="F389" s="45">
        <f>'NonPublic Enrollment'!$E389*0.1</f>
        <v>3.9000000000000004</v>
      </c>
      <c r="G389" s="45">
        <v>27</v>
      </c>
      <c r="H389" s="45">
        <f>'NonPublic Enrollment'!$G389*0.7374</f>
        <v>19.909800000000001</v>
      </c>
      <c r="I389" s="45">
        <v>0</v>
      </c>
      <c r="J389" s="45">
        <f>'NonPublic Enrollment'!$I389*0.2906</f>
        <v>0</v>
      </c>
      <c r="K389" s="45">
        <f>'NonPublic Enrollment'!$D389+'NonPublic Enrollment'!$F389+'NonPublic Enrollment'!$H389+'NonPublic Enrollment'!$J389</f>
        <v>330.8098</v>
      </c>
      <c r="L389" s="39" t="s">
        <v>2591</v>
      </c>
    </row>
    <row r="390" spans="1:12">
      <c r="A390" s="36" t="s">
        <v>2561</v>
      </c>
      <c r="B390" s="36" t="str">
        <f>"054999"</f>
        <v>054999</v>
      </c>
      <c r="C390" s="36" t="s">
        <v>2726</v>
      </c>
      <c r="D390" s="44">
        <v>209</v>
      </c>
      <c r="E390" s="44">
        <v>191</v>
      </c>
      <c r="F390" s="44">
        <f>'NonPublic Enrollment'!$E390*0.1</f>
        <v>19.100000000000001</v>
      </c>
      <c r="G390" s="44">
        <v>27</v>
      </c>
      <c r="H390" s="44">
        <f>'NonPublic Enrollment'!$G390*0.7374</f>
        <v>19.909800000000001</v>
      </c>
      <c r="I390" s="44">
        <v>0</v>
      </c>
      <c r="J390" s="44">
        <f>'NonPublic Enrollment'!$I390*0.2906</f>
        <v>0</v>
      </c>
      <c r="K390" s="44">
        <f>'NonPublic Enrollment'!$D390+'NonPublic Enrollment'!$F390+'NonPublic Enrollment'!$H390+'NonPublic Enrollment'!$J390</f>
        <v>248.00979999999998</v>
      </c>
      <c r="L390" s="37" t="s">
        <v>2562</v>
      </c>
    </row>
    <row r="391" spans="1:12">
      <c r="A391" s="38" t="s">
        <v>2561</v>
      </c>
      <c r="B391" s="38" t="str">
        <f>"054437"</f>
        <v>054437</v>
      </c>
      <c r="C391" s="38" t="s">
        <v>2841</v>
      </c>
      <c r="D391" s="45">
        <v>550</v>
      </c>
      <c r="E391" s="45">
        <v>3</v>
      </c>
      <c r="F391" s="45">
        <f>'NonPublic Enrollment'!$E391*0.1</f>
        <v>0.30000000000000004</v>
      </c>
      <c r="G391" s="45">
        <v>26</v>
      </c>
      <c r="H391" s="45">
        <f>'NonPublic Enrollment'!$G391*0.7374</f>
        <v>19.172400000000003</v>
      </c>
      <c r="I391" s="45">
        <v>0</v>
      </c>
      <c r="J391" s="45">
        <f>'NonPublic Enrollment'!$I391*0.2906</f>
        <v>0</v>
      </c>
      <c r="K391" s="45">
        <f>'NonPublic Enrollment'!$D391+'NonPublic Enrollment'!$F391+'NonPublic Enrollment'!$H391+'NonPublic Enrollment'!$J391</f>
        <v>569.47239999999999</v>
      </c>
      <c r="L391" s="39" t="s">
        <v>2562</v>
      </c>
    </row>
    <row r="392" spans="1:12">
      <c r="A392" s="36" t="s">
        <v>2561</v>
      </c>
      <c r="B392" s="36" t="str">
        <f>"058081"</f>
        <v>058081</v>
      </c>
      <c r="C392" s="36" t="s">
        <v>2756</v>
      </c>
      <c r="D392" s="44">
        <v>383</v>
      </c>
      <c r="E392" s="44">
        <v>8</v>
      </c>
      <c r="F392" s="44">
        <f>'NonPublic Enrollment'!$E392*0.1</f>
        <v>0.8</v>
      </c>
      <c r="G392" s="44">
        <v>26</v>
      </c>
      <c r="H392" s="44">
        <f>'NonPublic Enrollment'!$G392*0.7374</f>
        <v>19.172400000000003</v>
      </c>
      <c r="I392" s="44">
        <v>0</v>
      </c>
      <c r="J392" s="44">
        <f>'NonPublic Enrollment'!$I392*0.2906</f>
        <v>0</v>
      </c>
      <c r="K392" s="44">
        <f>'NonPublic Enrollment'!$D392+'NonPublic Enrollment'!$F392+'NonPublic Enrollment'!$H392+'NonPublic Enrollment'!$J392</f>
        <v>402.97239999999999</v>
      </c>
      <c r="L392" s="37" t="s">
        <v>2562</v>
      </c>
    </row>
    <row r="393" spans="1:12">
      <c r="A393" s="38" t="s">
        <v>2561</v>
      </c>
      <c r="B393" s="38" t="str">
        <f>"134312"</f>
        <v>134312</v>
      </c>
      <c r="C393" s="38" t="s">
        <v>2879</v>
      </c>
      <c r="D393" s="45">
        <v>545</v>
      </c>
      <c r="E393" s="45">
        <v>8</v>
      </c>
      <c r="F393" s="45">
        <f>'NonPublic Enrollment'!$E393*0.1</f>
        <v>0.8</v>
      </c>
      <c r="G393" s="45">
        <v>26</v>
      </c>
      <c r="H393" s="45">
        <f>'NonPublic Enrollment'!$G393*0.7374</f>
        <v>19.172400000000003</v>
      </c>
      <c r="I393" s="45">
        <v>0</v>
      </c>
      <c r="J393" s="45">
        <f>'NonPublic Enrollment'!$I393*0.2906</f>
        <v>0</v>
      </c>
      <c r="K393" s="45">
        <f>'NonPublic Enrollment'!$D393+'NonPublic Enrollment'!$F393+'NonPublic Enrollment'!$H393+'NonPublic Enrollment'!$J393</f>
        <v>564.97239999999999</v>
      </c>
      <c r="L393" s="39" t="s">
        <v>2562</v>
      </c>
    </row>
    <row r="394" spans="1:12">
      <c r="A394" s="36" t="s">
        <v>2561</v>
      </c>
      <c r="B394" s="36" t="str">
        <f>"057018"</f>
        <v>057018</v>
      </c>
      <c r="C394" s="36" t="s">
        <v>2812</v>
      </c>
      <c r="D394" s="44">
        <v>296</v>
      </c>
      <c r="E394" s="44">
        <v>24</v>
      </c>
      <c r="F394" s="44">
        <f>'NonPublic Enrollment'!$E394*0.1</f>
        <v>2.4000000000000004</v>
      </c>
      <c r="G394" s="44">
        <v>26</v>
      </c>
      <c r="H394" s="44">
        <f>'NonPublic Enrollment'!$G394*0.7374</f>
        <v>19.172400000000003</v>
      </c>
      <c r="I394" s="44">
        <v>0</v>
      </c>
      <c r="J394" s="44">
        <f>'NonPublic Enrollment'!$I394*0.2906</f>
        <v>0</v>
      </c>
      <c r="K394" s="44">
        <f>'NonPublic Enrollment'!$D394+'NonPublic Enrollment'!$F394+'NonPublic Enrollment'!$H394+'NonPublic Enrollment'!$J394</f>
        <v>317.57239999999996</v>
      </c>
      <c r="L394" s="37" t="s">
        <v>2586</v>
      </c>
    </row>
    <row r="395" spans="1:12">
      <c r="A395" s="38" t="s">
        <v>2561</v>
      </c>
      <c r="B395" s="38" t="str">
        <f>"053611"</f>
        <v>053611</v>
      </c>
      <c r="C395" s="38" t="s">
        <v>2727</v>
      </c>
      <c r="D395" s="45">
        <v>320</v>
      </c>
      <c r="E395" s="45">
        <v>32</v>
      </c>
      <c r="F395" s="45">
        <f>'NonPublic Enrollment'!$E395*0.1</f>
        <v>3.2</v>
      </c>
      <c r="G395" s="45">
        <v>26</v>
      </c>
      <c r="H395" s="45">
        <f>'NonPublic Enrollment'!$G395*0.7374</f>
        <v>19.172400000000003</v>
      </c>
      <c r="I395" s="45">
        <v>0</v>
      </c>
      <c r="J395" s="45">
        <f>'NonPublic Enrollment'!$I395*0.2906</f>
        <v>0</v>
      </c>
      <c r="K395" s="45">
        <f>'NonPublic Enrollment'!$D395+'NonPublic Enrollment'!$F395+'NonPublic Enrollment'!$H395+'NonPublic Enrollment'!$J395</f>
        <v>342.37239999999997</v>
      </c>
      <c r="L395" s="39" t="s">
        <v>2562</v>
      </c>
    </row>
    <row r="396" spans="1:12">
      <c r="A396" s="36" t="s">
        <v>2561</v>
      </c>
      <c r="B396" s="36" t="str">
        <f>"054783"</f>
        <v>054783</v>
      </c>
      <c r="C396" s="36" t="s">
        <v>2878</v>
      </c>
      <c r="D396" s="44">
        <v>368</v>
      </c>
      <c r="E396" s="44">
        <v>32</v>
      </c>
      <c r="F396" s="44">
        <f>'NonPublic Enrollment'!$E396*0.1</f>
        <v>3.2</v>
      </c>
      <c r="G396" s="44">
        <v>26</v>
      </c>
      <c r="H396" s="44">
        <f>'NonPublic Enrollment'!$G396*0.7374</f>
        <v>19.172400000000003</v>
      </c>
      <c r="I396" s="44">
        <v>0</v>
      </c>
      <c r="J396" s="44">
        <f>'NonPublic Enrollment'!$I396*0.2906</f>
        <v>0</v>
      </c>
      <c r="K396" s="44">
        <f>'NonPublic Enrollment'!$D396+'NonPublic Enrollment'!$F396+'NonPublic Enrollment'!$H396+'NonPublic Enrollment'!$J396</f>
        <v>390.37239999999997</v>
      </c>
      <c r="L396" s="37" t="s">
        <v>2591</v>
      </c>
    </row>
    <row r="397" spans="1:12">
      <c r="A397" s="38" t="s">
        <v>2561</v>
      </c>
      <c r="B397" s="38" t="str">
        <f>"053363"</f>
        <v>053363</v>
      </c>
      <c r="C397" s="38" t="s">
        <v>2877</v>
      </c>
      <c r="D397" s="45">
        <v>144</v>
      </c>
      <c r="E397" s="45">
        <v>45</v>
      </c>
      <c r="F397" s="45">
        <f>'NonPublic Enrollment'!$E397*0.1</f>
        <v>4.5</v>
      </c>
      <c r="G397" s="45">
        <v>26</v>
      </c>
      <c r="H397" s="45">
        <f>'NonPublic Enrollment'!$G397*0.7374</f>
        <v>19.172400000000003</v>
      </c>
      <c r="I397" s="45">
        <v>0</v>
      </c>
      <c r="J397" s="45">
        <f>'NonPublic Enrollment'!$I397*0.2906</f>
        <v>0</v>
      </c>
      <c r="K397" s="45">
        <f>'NonPublic Enrollment'!$D397+'NonPublic Enrollment'!$F397+'NonPublic Enrollment'!$H397+'NonPublic Enrollment'!$J397</f>
        <v>167.67240000000001</v>
      </c>
      <c r="L397" s="39" t="s">
        <v>2562</v>
      </c>
    </row>
    <row r="398" spans="1:12">
      <c r="A398" s="36" t="s">
        <v>2561</v>
      </c>
      <c r="B398" s="36" t="str">
        <f>"053686"</f>
        <v>053686</v>
      </c>
      <c r="C398" s="36" t="s">
        <v>2876</v>
      </c>
      <c r="D398" s="44">
        <v>470</v>
      </c>
      <c r="E398" s="44">
        <v>100</v>
      </c>
      <c r="F398" s="44">
        <f>'NonPublic Enrollment'!$E398*0.1</f>
        <v>10</v>
      </c>
      <c r="G398" s="44">
        <v>26</v>
      </c>
      <c r="H398" s="44">
        <f>'NonPublic Enrollment'!$G398*0.7374</f>
        <v>19.172400000000003</v>
      </c>
      <c r="I398" s="44">
        <v>0</v>
      </c>
      <c r="J398" s="44">
        <f>'NonPublic Enrollment'!$I398*0.2906</f>
        <v>0</v>
      </c>
      <c r="K398" s="44">
        <f>'NonPublic Enrollment'!$D398+'NonPublic Enrollment'!$F398+'NonPublic Enrollment'!$H398+'NonPublic Enrollment'!$J398</f>
        <v>499.17239999999998</v>
      </c>
      <c r="L398" s="37" t="s">
        <v>2591</v>
      </c>
    </row>
    <row r="399" spans="1:12">
      <c r="A399" s="38" t="s">
        <v>2561</v>
      </c>
      <c r="B399" s="38" t="str">
        <f>"090274"</f>
        <v>090274</v>
      </c>
      <c r="C399" s="38" t="s">
        <v>2875</v>
      </c>
      <c r="D399" s="45">
        <v>490</v>
      </c>
      <c r="E399" s="45">
        <v>0</v>
      </c>
      <c r="F399" s="45">
        <f>'NonPublic Enrollment'!$E399*0.1</f>
        <v>0</v>
      </c>
      <c r="G399" s="45">
        <v>26</v>
      </c>
      <c r="H399" s="45">
        <f>'NonPublic Enrollment'!$G399*0.7374</f>
        <v>19.172400000000003</v>
      </c>
      <c r="I399" s="45">
        <v>0</v>
      </c>
      <c r="J399" s="45">
        <f>'NonPublic Enrollment'!$I399*0.2906</f>
        <v>0</v>
      </c>
      <c r="K399" s="45">
        <f>'NonPublic Enrollment'!$D399+'NonPublic Enrollment'!$F399+'NonPublic Enrollment'!$H399+'NonPublic Enrollment'!$J399</f>
        <v>509.17239999999998</v>
      </c>
      <c r="L399" s="39" t="s">
        <v>2562</v>
      </c>
    </row>
    <row r="400" spans="1:12">
      <c r="A400" s="36" t="s">
        <v>2561</v>
      </c>
      <c r="B400" s="36" t="str">
        <f>"057034"</f>
        <v>057034</v>
      </c>
      <c r="C400" s="36" t="s">
        <v>2874</v>
      </c>
      <c r="D400" s="44">
        <v>539</v>
      </c>
      <c r="E400" s="44">
        <v>4</v>
      </c>
      <c r="F400" s="44">
        <f>'NonPublic Enrollment'!$E400*0.1</f>
        <v>0.4</v>
      </c>
      <c r="G400" s="44">
        <v>25</v>
      </c>
      <c r="H400" s="44">
        <f>'NonPublic Enrollment'!$G400*0.7374</f>
        <v>18.435000000000002</v>
      </c>
      <c r="I400" s="44">
        <v>0</v>
      </c>
      <c r="J400" s="44">
        <f>'NonPublic Enrollment'!$I400*0.2906</f>
        <v>0</v>
      </c>
      <c r="K400" s="44">
        <f>'NonPublic Enrollment'!$D400+'NonPublic Enrollment'!$F400+'NonPublic Enrollment'!$H400+'NonPublic Enrollment'!$J400</f>
        <v>557.83500000000004</v>
      </c>
      <c r="L400" s="37" t="s">
        <v>2562</v>
      </c>
    </row>
    <row r="401" spans="1:12">
      <c r="A401" s="38" t="s">
        <v>2561</v>
      </c>
      <c r="B401" s="38" t="str">
        <f>"055145"</f>
        <v>055145</v>
      </c>
      <c r="C401" s="38" t="s">
        <v>2771</v>
      </c>
      <c r="D401" s="45">
        <v>222</v>
      </c>
      <c r="E401" s="45">
        <v>17</v>
      </c>
      <c r="F401" s="45">
        <f>'NonPublic Enrollment'!$E401*0.1</f>
        <v>1.7000000000000002</v>
      </c>
      <c r="G401" s="45">
        <v>25</v>
      </c>
      <c r="H401" s="45">
        <f>'NonPublic Enrollment'!$G401*0.7374</f>
        <v>18.435000000000002</v>
      </c>
      <c r="I401" s="45">
        <v>0</v>
      </c>
      <c r="J401" s="45">
        <f>'NonPublic Enrollment'!$I401*0.2906</f>
        <v>0</v>
      </c>
      <c r="K401" s="45">
        <f>'NonPublic Enrollment'!$D401+'NonPublic Enrollment'!$F401+'NonPublic Enrollment'!$H401+'NonPublic Enrollment'!$J401</f>
        <v>242.13499999999999</v>
      </c>
      <c r="L401" s="39" t="s">
        <v>2580</v>
      </c>
    </row>
    <row r="402" spans="1:12">
      <c r="A402" s="36" t="s">
        <v>2561</v>
      </c>
      <c r="B402" s="36" t="str">
        <f>"056069"</f>
        <v>056069</v>
      </c>
      <c r="C402" s="36" t="s">
        <v>2873</v>
      </c>
      <c r="D402" s="44">
        <v>217</v>
      </c>
      <c r="E402" s="44">
        <v>200</v>
      </c>
      <c r="F402" s="44">
        <f>'NonPublic Enrollment'!$E402*0.1</f>
        <v>20</v>
      </c>
      <c r="G402" s="44">
        <v>25</v>
      </c>
      <c r="H402" s="44">
        <f>'NonPublic Enrollment'!$G402*0.7374</f>
        <v>18.435000000000002</v>
      </c>
      <c r="I402" s="44">
        <v>0</v>
      </c>
      <c r="J402" s="44">
        <f>'NonPublic Enrollment'!$I402*0.2906</f>
        <v>0</v>
      </c>
      <c r="K402" s="44">
        <f>'NonPublic Enrollment'!$D402+'NonPublic Enrollment'!$F402+'NonPublic Enrollment'!$H402+'NonPublic Enrollment'!$J402</f>
        <v>255.435</v>
      </c>
      <c r="L402" s="37" t="s">
        <v>2586</v>
      </c>
    </row>
    <row r="403" spans="1:12">
      <c r="A403" s="38" t="s">
        <v>2561</v>
      </c>
      <c r="B403" s="38" t="str">
        <f>"056721"</f>
        <v>056721</v>
      </c>
      <c r="C403" s="38" t="s">
        <v>2872</v>
      </c>
      <c r="D403" s="45">
        <v>221</v>
      </c>
      <c r="E403" s="45">
        <v>0</v>
      </c>
      <c r="F403" s="45">
        <f>'NonPublic Enrollment'!$E403*0.1</f>
        <v>0</v>
      </c>
      <c r="G403" s="45">
        <v>24</v>
      </c>
      <c r="H403" s="45">
        <f>'NonPublic Enrollment'!$G403*0.7374</f>
        <v>17.697600000000001</v>
      </c>
      <c r="I403" s="45">
        <v>0</v>
      </c>
      <c r="J403" s="45">
        <f>'NonPublic Enrollment'!$I403*0.2906</f>
        <v>0</v>
      </c>
      <c r="K403" s="45">
        <f>'NonPublic Enrollment'!$D403+'NonPublic Enrollment'!$F403+'NonPublic Enrollment'!$H403+'NonPublic Enrollment'!$J403</f>
        <v>238.69759999999999</v>
      </c>
      <c r="L403" s="39" t="s">
        <v>2569</v>
      </c>
    </row>
    <row r="404" spans="1:12">
      <c r="A404" s="36" t="s">
        <v>2561</v>
      </c>
      <c r="B404" s="36" t="str">
        <f>"054346"</f>
        <v>054346</v>
      </c>
      <c r="C404" s="36" t="s">
        <v>2871</v>
      </c>
      <c r="D404" s="44">
        <v>183</v>
      </c>
      <c r="E404" s="44">
        <v>50</v>
      </c>
      <c r="F404" s="44">
        <f>'NonPublic Enrollment'!$E404*0.1</f>
        <v>5</v>
      </c>
      <c r="G404" s="44">
        <v>24</v>
      </c>
      <c r="H404" s="44">
        <f>'NonPublic Enrollment'!$G404*0.7374</f>
        <v>17.697600000000001</v>
      </c>
      <c r="I404" s="44">
        <v>0</v>
      </c>
      <c r="J404" s="44">
        <f>'NonPublic Enrollment'!$I404*0.2906</f>
        <v>0</v>
      </c>
      <c r="K404" s="44">
        <f>'NonPublic Enrollment'!$D404+'NonPublic Enrollment'!$F404+'NonPublic Enrollment'!$H404+'NonPublic Enrollment'!$J404</f>
        <v>205.69759999999999</v>
      </c>
      <c r="L404" s="37" t="s">
        <v>2562</v>
      </c>
    </row>
    <row r="405" spans="1:12">
      <c r="A405" s="38" t="s">
        <v>2561</v>
      </c>
      <c r="B405" s="38" t="str">
        <f>"054338"</f>
        <v>054338</v>
      </c>
      <c r="C405" s="38" t="s">
        <v>2871</v>
      </c>
      <c r="D405" s="45">
        <v>290</v>
      </c>
      <c r="E405" s="45">
        <v>55</v>
      </c>
      <c r="F405" s="45">
        <f>'NonPublic Enrollment'!$E405*0.1</f>
        <v>5.5</v>
      </c>
      <c r="G405" s="45">
        <v>24</v>
      </c>
      <c r="H405" s="45">
        <f>'NonPublic Enrollment'!$G405*0.7374</f>
        <v>17.697600000000001</v>
      </c>
      <c r="I405" s="45">
        <v>0</v>
      </c>
      <c r="J405" s="45">
        <f>'NonPublic Enrollment'!$I405*0.2906</f>
        <v>0</v>
      </c>
      <c r="K405" s="45">
        <f>'NonPublic Enrollment'!$D405+'NonPublic Enrollment'!$F405+'NonPublic Enrollment'!$H405+'NonPublic Enrollment'!$J405</f>
        <v>313.19760000000002</v>
      </c>
      <c r="L405" s="39" t="s">
        <v>2562</v>
      </c>
    </row>
    <row r="406" spans="1:12">
      <c r="A406" s="36" t="s">
        <v>2561</v>
      </c>
      <c r="B406" s="36" t="str">
        <f>"057992"</f>
        <v>057992</v>
      </c>
      <c r="C406" s="36" t="s">
        <v>2870</v>
      </c>
      <c r="D406" s="44">
        <v>173</v>
      </c>
      <c r="E406" s="44">
        <v>65</v>
      </c>
      <c r="F406" s="44">
        <f>'NonPublic Enrollment'!$E406*0.1</f>
        <v>6.5</v>
      </c>
      <c r="G406" s="44">
        <v>24</v>
      </c>
      <c r="H406" s="44">
        <f>'NonPublic Enrollment'!$G406*0.7374</f>
        <v>17.697600000000001</v>
      </c>
      <c r="I406" s="44">
        <v>0</v>
      </c>
      <c r="J406" s="44">
        <f>'NonPublic Enrollment'!$I406*0.2906</f>
        <v>0</v>
      </c>
      <c r="K406" s="44">
        <f>'NonPublic Enrollment'!$D406+'NonPublic Enrollment'!$F406+'NonPublic Enrollment'!$H406+'NonPublic Enrollment'!$J406</f>
        <v>197.19759999999999</v>
      </c>
      <c r="L406" s="37" t="s">
        <v>2562</v>
      </c>
    </row>
    <row r="407" spans="1:12">
      <c r="A407" s="38" t="s">
        <v>2561</v>
      </c>
      <c r="B407" s="38" t="str">
        <f>"053348"</f>
        <v>053348</v>
      </c>
      <c r="C407" s="38" t="s">
        <v>2869</v>
      </c>
      <c r="D407" s="45">
        <v>588</v>
      </c>
      <c r="E407" s="45">
        <v>66</v>
      </c>
      <c r="F407" s="45">
        <f>'NonPublic Enrollment'!$E407*0.1</f>
        <v>6.6000000000000005</v>
      </c>
      <c r="G407" s="45">
        <v>24</v>
      </c>
      <c r="H407" s="45">
        <f>'NonPublic Enrollment'!$G407*0.7374</f>
        <v>17.697600000000001</v>
      </c>
      <c r="I407" s="45">
        <v>0</v>
      </c>
      <c r="J407" s="45">
        <f>'NonPublic Enrollment'!$I407*0.2906</f>
        <v>0</v>
      </c>
      <c r="K407" s="45">
        <f>'NonPublic Enrollment'!$D407+'NonPublic Enrollment'!$F407+'NonPublic Enrollment'!$H407+'NonPublic Enrollment'!$J407</f>
        <v>612.29759999999999</v>
      </c>
      <c r="L407" s="39" t="s">
        <v>2569</v>
      </c>
    </row>
    <row r="408" spans="1:12">
      <c r="A408" s="36" t="s">
        <v>2561</v>
      </c>
      <c r="B408" s="36" t="str">
        <f>"054965"</f>
        <v>054965</v>
      </c>
      <c r="C408" s="36" t="s">
        <v>2868</v>
      </c>
      <c r="D408" s="44">
        <v>454</v>
      </c>
      <c r="E408" s="44">
        <v>10</v>
      </c>
      <c r="F408" s="44">
        <f>'NonPublic Enrollment'!$E408*0.1</f>
        <v>1</v>
      </c>
      <c r="G408" s="44">
        <v>23</v>
      </c>
      <c r="H408" s="44">
        <f>'NonPublic Enrollment'!$G408*0.7374</f>
        <v>16.9602</v>
      </c>
      <c r="I408" s="44">
        <v>0</v>
      </c>
      <c r="J408" s="44">
        <f>'NonPublic Enrollment'!$I408*0.2906</f>
        <v>0</v>
      </c>
      <c r="K408" s="44">
        <f>'NonPublic Enrollment'!$D408+'NonPublic Enrollment'!$F408+'NonPublic Enrollment'!$H408+'NonPublic Enrollment'!$J408</f>
        <v>471.96019999999999</v>
      </c>
      <c r="L408" s="37" t="s">
        <v>2591</v>
      </c>
    </row>
    <row r="409" spans="1:12">
      <c r="A409" s="38" t="s">
        <v>2561</v>
      </c>
      <c r="B409" s="38" t="str">
        <f>"059956"</f>
        <v>059956</v>
      </c>
      <c r="C409" s="38" t="s">
        <v>2867</v>
      </c>
      <c r="D409" s="45">
        <v>329</v>
      </c>
      <c r="E409" s="45">
        <v>11</v>
      </c>
      <c r="F409" s="45">
        <f>'NonPublic Enrollment'!$E409*0.1</f>
        <v>1.1000000000000001</v>
      </c>
      <c r="G409" s="45">
        <v>23</v>
      </c>
      <c r="H409" s="45">
        <f>'NonPublic Enrollment'!$G409*0.7374</f>
        <v>16.9602</v>
      </c>
      <c r="I409" s="45">
        <v>0</v>
      </c>
      <c r="J409" s="45">
        <f>'NonPublic Enrollment'!$I409*0.2906</f>
        <v>0</v>
      </c>
      <c r="K409" s="45">
        <f>'NonPublic Enrollment'!$D409+'NonPublic Enrollment'!$F409+'NonPublic Enrollment'!$H409+'NonPublic Enrollment'!$J409</f>
        <v>347.06020000000001</v>
      </c>
      <c r="L409" s="39" t="s">
        <v>2591</v>
      </c>
    </row>
    <row r="410" spans="1:12">
      <c r="A410" s="36" t="s">
        <v>2561</v>
      </c>
      <c r="B410" s="36" t="str">
        <f>"059592"</f>
        <v>059592</v>
      </c>
      <c r="C410" s="36" t="s">
        <v>2866</v>
      </c>
      <c r="D410" s="44">
        <v>277</v>
      </c>
      <c r="E410" s="44">
        <v>17</v>
      </c>
      <c r="F410" s="44">
        <f>'NonPublic Enrollment'!$E410*0.1</f>
        <v>1.7000000000000002</v>
      </c>
      <c r="G410" s="44">
        <v>23</v>
      </c>
      <c r="H410" s="44">
        <f>'NonPublic Enrollment'!$G410*0.7374</f>
        <v>16.9602</v>
      </c>
      <c r="I410" s="44">
        <v>0</v>
      </c>
      <c r="J410" s="44">
        <f>'NonPublic Enrollment'!$I410*0.2906</f>
        <v>0</v>
      </c>
      <c r="K410" s="44">
        <f>'NonPublic Enrollment'!$D410+'NonPublic Enrollment'!$F410+'NonPublic Enrollment'!$H410+'NonPublic Enrollment'!$J410</f>
        <v>295.66019999999997</v>
      </c>
      <c r="L410" s="37" t="s">
        <v>2562</v>
      </c>
    </row>
    <row r="411" spans="1:12">
      <c r="A411" s="38" t="s">
        <v>2561</v>
      </c>
      <c r="B411" s="38" t="str">
        <f>"056853"</f>
        <v>056853</v>
      </c>
      <c r="C411" s="38" t="s">
        <v>2865</v>
      </c>
      <c r="D411" s="45">
        <v>581</v>
      </c>
      <c r="E411" s="45">
        <v>26</v>
      </c>
      <c r="F411" s="45">
        <f>'NonPublic Enrollment'!$E411*0.1</f>
        <v>2.6</v>
      </c>
      <c r="G411" s="45">
        <v>23</v>
      </c>
      <c r="H411" s="45">
        <f>'NonPublic Enrollment'!$G411*0.7374</f>
        <v>16.9602</v>
      </c>
      <c r="I411" s="45">
        <v>0</v>
      </c>
      <c r="J411" s="45">
        <f>'NonPublic Enrollment'!$I411*0.2906</f>
        <v>0</v>
      </c>
      <c r="K411" s="45">
        <f>'NonPublic Enrollment'!$D411+'NonPublic Enrollment'!$F411+'NonPublic Enrollment'!$H411+'NonPublic Enrollment'!$J411</f>
        <v>600.56020000000001</v>
      </c>
      <c r="L411" s="39" t="s">
        <v>2569</v>
      </c>
    </row>
    <row r="412" spans="1:12">
      <c r="A412" s="36" t="s">
        <v>2561</v>
      </c>
      <c r="B412" s="36" t="str">
        <f>"054833"</f>
        <v>054833</v>
      </c>
      <c r="C412" s="36" t="s">
        <v>2864</v>
      </c>
      <c r="D412" s="44">
        <v>182</v>
      </c>
      <c r="E412" s="44">
        <v>37</v>
      </c>
      <c r="F412" s="44">
        <f>'NonPublic Enrollment'!$E412*0.1</f>
        <v>3.7</v>
      </c>
      <c r="G412" s="44">
        <v>23</v>
      </c>
      <c r="H412" s="44">
        <f>'NonPublic Enrollment'!$G412*0.7374</f>
        <v>16.9602</v>
      </c>
      <c r="I412" s="44">
        <v>0</v>
      </c>
      <c r="J412" s="44">
        <f>'NonPublic Enrollment'!$I412*0.2906</f>
        <v>0</v>
      </c>
      <c r="K412" s="44">
        <f>'NonPublic Enrollment'!$D412+'NonPublic Enrollment'!$F412+'NonPublic Enrollment'!$H412+'NonPublic Enrollment'!$J412</f>
        <v>202.66019999999997</v>
      </c>
      <c r="L412" s="37" t="s">
        <v>2562</v>
      </c>
    </row>
    <row r="413" spans="1:12">
      <c r="A413" s="38" t="s">
        <v>2561</v>
      </c>
      <c r="B413" s="38" t="str">
        <f>"059790"</f>
        <v>059790</v>
      </c>
      <c r="C413" s="38" t="s">
        <v>2721</v>
      </c>
      <c r="D413" s="45">
        <v>279</v>
      </c>
      <c r="E413" s="45">
        <v>57</v>
      </c>
      <c r="F413" s="45">
        <f>'NonPublic Enrollment'!$E413*0.1</f>
        <v>5.7</v>
      </c>
      <c r="G413" s="45">
        <v>23</v>
      </c>
      <c r="H413" s="45">
        <f>'NonPublic Enrollment'!$G413*0.7374</f>
        <v>16.9602</v>
      </c>
      <c r="I413" s="45">
        <v>0</v>
      </c>
      <c r="J413" s="45">
        <f>'NonPublic Enrollment'!$I413*0.2906</f>
        <v>0</v>
      </c>
      <c r="K413" s="45">
        <f>'NonPublic Enrollment'!$D413+'NonPublic Enrollment'!$F413+'NonPublic Enrollment'!$H413+'NonPublic Enrollment'!$J413</f>
        <v>301.66019999999997</v>
      </c>
      <c r="L413" s="39" t="s">
        <v>2591</v>
      </c>
    </row>
    <row r="414" spans="1:12">
      <c r="A414" s="36" t="s">
        <v>2561</v>
      </c>
      <c r="B414" s="36" t="str">
        <f>"054692"</f>
        <v>054692</v>
      </c>
      <c r="C414" s="36" t="s">
        <v>2863</v>
      </c>
      <c r="D414" s="44">
        <v>266</v>
      </c>
      <c r="E414" s="44">
        <v>70</v>
      </c>
      <c r="F414" s="44">
        <f>'NonPublic Enrollment'!$E414*0.1</f>
        <v>7</v>
      </c>
      <c r="G414" s="44">
        <v>23</v>
      </c>
      <c r="H414" s="44">
        <f>'NonPublic Enrollment'!$G414*0.7374</f>
        <v>16.9602</v>
      </c>
      <c r="I414" s="44">
        <v>0</v>
      </c>
      <c r="J414" s="44">
        <f>'NonPublic Enrollment'!$I414*0.2906</f>
        <v>0</v>
      </c>
      <c r="K414" s="44">
        <f>'NonPublic Enrollment'!$D414+'NonPublic Enrollment'!$F414+'NonPublic Enrollment'!$H414+'NonPublic Enrollment'!$J414</f>
        <v>289.96019999999999</v>
      </c>
      <c r="L414" s="37" t="s">
        <v>2591</v>
      </c>
    </row>
    <row r="415" spans="1:12">
      <c r="A415" s="38" t="s">
        <v>2561</v>
      </c>
      <c r="B415" s="38" t="str">
        <f>"058487"</f>
        <v>058487</v>
      </c>
      <c r="C415" s="38" t="s">
        <v>2669</v>
      </c>
      <c r="D415" s="45">
        <v>229</v>
      </c>
      <c r="E415" s="45">
        <v>120</v>
      </c>
      <c r="F415" s="45">
        <f>'NonPublic Enrollment'!$E415*0.1</f>
        <v>12</v>
      </c>
      <c r="G415" s="45">
        <v>23</v>
      </c>
      <c r="H415" s="45">
        <f>'NonPublic Enrollment'!$G415*0.7374</f>
        <v>16.9602</v>
      </c>
      <c r="I415" s="45">
        <v>0</v>
      </c>
      <c r="J415" s="45">
        <f>'NonPublic Enrollment'!$I415*0.2906</f>
        <v>0</v>
      </c>
      <c r="K415" s="45">
        <f>'NonPublic Enrollment'!$D415+'NonPublic Enrollment'!$F415+'NonPublic Enrollment'!$H415+'NonPublic Enrollment'!$J415</f>
        <v>257.96019999999999</v>
      </c>
      <c r="L415" s="39" t="s">
        <v>2562</v>
      </c>
    </row>
    <row r="416" spans="1:12">
      <c r="A416" s="36" t="s">
        <v>2561</v>
      </c>
      <c r="B416" s="36" t="str">
        <f>"052639"</f>
        <v>052639</v>
      </c>
      <c r="C416" s="36" t="s">
        <v>2862</v>
      </c>
      <c r="D416" s="44">
        <v>797</v>
      </c>
      <c r="E416" s="44">
        <v>126</v>
      </c>
      <c r="F416" s="44">
        <f>'NonPublic Enrollment'!$E416*0.1</f>
        <v>12.600000000000001</v>
      </c>
      <c r="G416" s="44">
        <v>23</v>
      </c>
      <c r="H416" s="44">
        <f>'NonPublic Enrollment'!$G416*0.7374</f>
        <v>16.9602</v>
      </c>
      <c r="I416" s="44">
        <v>0</v>
      </c>
      <c r="J416" s="44">
        <f>'NonPublic Enrollment'!$I416*0.2906</f>
        <v>0</v>
      </c>
      <c r="K416" s="44">
        <f>'NonPublic Enrollment'!$D416+'NonPublic Enrollment'!$F416+'NonPublic Enrollment'!$H416+'NonPublic Enrollment'!$J416</f>
        <v>826.56020000000001</v>
      </c>
      <c r="L416" s="37" t="s">
        <v>2562</v>
      </c>
    </row>
    <row r="417" spans="1:12">
      <c r="A417" s="38" t="s">
        <v>2561</v>
      </c>
      <c r="B417" s="38" t="str">
        <f>"096719"</f>
        <v>096719</v>
      </c>
      <c r="C417" s="38" t="s">
        <v>2861</v>
      </c>
      <c r="D417" s="45">
        <v>658</v>
      </c>
      <c r="E417" s="45">
        <v>314</v>
      </c>
      <c r="F417" s="45">
        <f>'NonPublic Enrollment'!$E417*0.1</f>
        <v>31.400000000000002</v>
      </c>
      <c r="G417" s="45">
        <v>23</v>
      </c>
      <c r="H417" s="45">
        <f>'NonPublic Enrollment'!$G417*0.7374</f>
        <v>16.9602</v>
      </c>
      <c r="I417" s="45">
        <v>0</v>
      </c>
      <c r="J417" s="45">
        <f>'NonPublic Enrollment'!$I417*0.2906</f>
        <v>0</v>
      </c>
      <c r="K417" s="45">
        <f>'NonPublic Enrollment'!$D417+'NonPublic Enrollment'!$F417+'NonPublic Enrollment'!$H417+'NonPublic Enrollment'!$J417</f>
        <v>706.36019999999996</v>
      </c>
      <c r="L417" s="39" t="s">
        <v>2569</v>
      </c>
    </row>
    <row r="418" spans="1:12">
      <c r="A418" s="36" t="s">
        <v>2561</v>
      </c>
      <c r="B418" s="36" t="str">
        <f>"053876"</f>
        <v>053876</v>
      </c>
      <c r="C418" s="36" t="s">
        <v>2860</v>
      </c>
      <c r="D418" s="44">
        <v>1403</v>
      </c>
      <c r="E418" s="44">
        <v>0</v>
      </c>
      <c r="F418" s="44">
        <f>'NonPublic Enrollment'!$E418*0.1</f>
        <v>0</v>
      </c>
      <c r="G418" s="44">
        <v>23</v>
      </c>
      <c r="H418" s="44">
        <f>'NonPublic Enrollment'!$G418*0.7374</f>
        <v>16.9602</v>
      </c>
      <c r="I418" s="44">
        <v>0</v>
      </c>
      <c r="J418" s="44">
        <f>'NonPublic Enrollment'!$I418*0.2906</f>
        <v>0</v>
      </c>
      <c r="K418" s="44">
        <f>'NonPublic Enrollment'!$D418+'NonPublic Enrollment'!$F418+'NonPublic Enrollment'!$H418+'NonPublic Enrollment'!$J418</f>
        <v>1419.9602</v>
      </c>
      <c r="L418" s="37" t="s">
        <v>2562</v>
      </c>
    </row>
    <row r="419" spans="1:12">
      <c r="A419" s="38" t="s">
        <v>2561</v>
      </c>
      <c r="B419" s="38" t="str">
        <f>"132530"</f>
        <v>132530</v>
      </c>
      <c r="C419" s="38" t="s">
        <v>2859</v>
      </c>
      <c r="D419" s="45">
        <v>474</v>
      </c>
      <c r="E419" s="45">
        <v>0</v>
      </c>
      <c r="F419" s="45">
        <f>'NonPublic Enrollment'!$E419*0.1</f>
        <v>0</v>
      </c>
      <c r="G419" s="45">
        <v>22</v>
      </c>
      <c r="H419" s="45">
        <f>'NonPublic Enrollment'!$G419*0.7374</f>
        <v>16.222799999999999</v>
      </c>
      <c r="I419" s="45">
        <v>0</v>
      </c>
      <c r="J419" s="45">
        <f>'NonPublic Enrollment'!$I419*0.2906</f>
        <v>0</v>
      </c>
      <c r="K419" s="45">
        <f>'NonPublic Enrollment'!$D419+'NonPublic Enrollment'!$F419+'NonPublic Enrollment'!$H419+'NonPublic Enrollment'!$J419</f>
        <v>490.22280000000001</v>
      </c>
      <c r="L419" s="39" t="s">
        <v>2582</v>
      </c>
    </row>
    <row r="420" spans="1:12">
      <c r="A420" s="36" t="s">
        <v>2561</v>
      </c>
      <c r="B420" s="36" t="str">
        <f>"057745"</f>
        <v>057745</v>
      </c>
      <c r="C420" s="36" t="s">
        <v>2858</v>
      </c>
      <c r="D420" s="44">
        <v>192</v>
      </c>
      <c r="E420" s="44">
        <v>6</v>
      </c>
      <c r="F420" s="44">
        <f>'NonPublic Enrollment'!$E420*0.1</f>
        <v>0.60000000000000009</v>
      </c>
      <c r="G420" s="44">
        <v>22</v>
      </c>
      <c r="H420" s="44">
        <f>'NonPublic Enrollment'!$G420*0.7374</f>
        <v>16.222799999999999</v>
      </c>
      <c r="I420" s="44">
        <v>0</v>
      </c>
      <c r="J420" s="44">
        <f>'NonPublic Enrollment'!$I420*0.2906</f>
        <v>0</v>
      </c>
      <c r="K420" s="44">
        <f>'NonPublic Enrollment'!$D420+'NonPublic Enrollment'!$F420+'NonPublic Enrollment'!$H420+'NonPublic Enrollment'!$J420</f>
        <v>208.8228</v>
      </c>
      <c r="L420" s="37" t="s">
        <v>2591</v>
      </c>
    </row>
    <row r="421" spans="1:12">
      <c r="A421" s="38" t="s">
        <v>2561</v>
      </c>
      <c r="B421" s="38" t="str">
        <f>"056887"</f>
        <v>056887</v>
      </c>
      <c r="C421" s="38" t="s">
        <v>2733</v>
      </c>
      <c r="D421" s="45">
        <v>355</v>
      </c>
      <c r="E421" s="45">
        <v>9</v>
      </c>
      <c r="F421" s="45">
        <f>'NonPublic Enrollment'!$E421*0.1</f>
        <v>0.9</v>
      </c>
      <c r="G421" s="45">
        <v>22</v>
      </c>
      <c r="H421" s="45">
        <f>'NonPublic Enrollment'!$G421*0.7374</f>
        <v>16.222799999999999</v>
      </c>
      <c r="I421" s="45">
        <v>0</v>
      </c>
      <c r="J421" s="45">
        <f>'NonPublic Enrollment'!$I421*0.2906</f>
        <v>0</v>
      </c>
      <c r="K421" s="45">
        <f>'NonPublic Enrollment'!$D421+'NonPublic Enrollment'!$F421+'NonPublic Enrollment'!$H421+'NonPublic Enrollment'!$J421</f>
        <v>372.12279999999998</v>
      </c>
      <c r="L421" s="39" t="s">
        <v>2569</v>
      </c>
    </row>
    <row r="422" spans="1:12">
      <c r="A422" s="36" t="s">
        <v>2561</v>
      </c>
      <c r="B422" s="36" t="str">
        <f>"054270"</f>
        <v>054270</v>
      </c>
      <c r="C422" s="36" t="s">
        <v>2857</v>
      </c>
      <c r="D422" s="44">
        <v>298</v>
      </c>
      <c r="E422" s="44">
        <v>12</v>
      </c>
      <c r="F422" s="44">
        <f>'NonPublic Enrollment'!$E422*0.1</f>
        <v>1.2000000000000002</v>
      </c>
      <c r="G422" s="44">
        <v>22</v>
      </c>
      <c r="H422" s="44">
        <f>'NonPublic Enrollment'!$G422*0.7374</f>
        <v>16.222799999999999</v>
      </c>
      <c r="I422" s="44">
        <v>0</v>
      </c>
      <c r="J422" s="44">
        <f>'NonPublic Enrollment'!$I422*0.2906</f>
        <v>0</v>
      </c>
      <c r="K422" s="44">
        <f>'NonPublic Enrollment'!$D422+'NonPublic Enrollment'!$F422+'NonPublic Enrollment'!$H422+'NonPublic Enrollment'!$J422</f>
        <v>315.4228</v>
      </c>
      <c r="L422" s="37" t="s">
        <v>2591</v>
      </c>
    </row>
    <row r="423" spans="1:12">
      <c r="A423" s="38" t="s">
        <v>2561</v>
      </c>
      <c r="B423" s="38" t="str">
        <f>"055251"</f>
        <v>055251</v>
      </c>
      <c r="C423" s="38" t="s">
        <v>2856</v>
      </c>
      <c r="D423" s="45">
        <v>322</v>
      </c>
      <c r="E423" s="45">
        <v>14</v>
      </c>
      <c r="F423" s="45">
        <f>'NonPublic Enrollment'!$E423*0.1</f>
        <v>1.4000000000000001</v>
      </c>
      <c r="G423" s="45">
        <v>22</v>
      </c>
      <c r="H423" s="45">
        <f>'NonPublic Enrollment'!$G423*0.7374</f>
        <v>16.222799999999999</v>
      </c>
      <c r="I423" s="45">
        <v>0</v>
      </c>
      <c r="J423" s="45">
        <f>'NonPublic Enrollment'!$I423*0.2906</f>
        <v>0</v>
      </c>
      <c r="K423" s="45">
        <f>'NonPublic Enrollment'!$D423+'NonPublic Enrollment'!$F423+'NonPublic Enrollment'!$H423+'NonPublic Enrollment'!$J423</f>
        <v>339.62279999999998</v>
      </c>
      <c r="L423" s="39" t="s">
        <v>2580</v>
      </c>
    </row>
    <row r="424" spans="1:12">
      <c r="A424" s="36" t="s">
        <v>2561</v>
      </c>
      <c r="B424" s="36" t="str">
        <f>"054411"</f>
        <v>054411</v>
      </c>
      <c r="C424" s="36" t="s">
        <v>2671</v>
      </c>
      <c r="D424" s="44">
        <v>127</v>
      </c>
      <c r="E424" s="44">
        <v>20</v>
      </c>
      <c r="F424" s="44">
        <f>'NonPublic Enrollment'!$E424*0.1</f>
        <v>2</v>
      </c>
      <c r="G424" s="44">
        <v>22</v>
      </c>
      <c r="H424" s="44">
        <f>'NonPublic Enrollment'!$G424*0.7374</f>
        <v>16.222799999999999</v>
      </c>
      <c r="I424" s="44">
        <v>0</v>
      </c>
      <c r="J424" s="44">
        <f>'NonPublic Enrollment'!$I424*0.2906</f>
        <v>0</v>
      </c>
      <c r="K424" s="44">
        <f>'NonPublic Enrollment'!$D424+'NonPublic Enrollment'!$F424+'NonPublic Enrollment'!$H424+'NonPublic Enrollment'!$J424</f>
        <v>145.22280000000001</v>
      </c>
      <c r="L424" s="37" t="s">
        <v>2562</v>
      </c>
    </row>
    <row r="425" spans="1:12">
      <c r="A425" s="38" t="s">
        <v>2561</v>
      </c>
      <c r="B425" s="38" t="str">
        <f>"055012"</f>
        <v>055012</v>
      </c>
      <c r="C425" s="38" t="s">
        <v>2855</v>
      </c>
      <c r="D425" s="45">
        <v>162</v>
      </c>
      <c r="E425" s="45">
        <v>152</v>
      </c>
      <c r="F425" s="45">
        <f>'NonPublic Enrollment'!$E425*0.1</f>
        <v>15.200000000000001</v>
      </c>
      <c r="G425" s="45">
        <v>22</v>
      </c>
      <c r="H425" s="45">
        <f>'NonPublic Enrollment'!$G425*0.7374</f>
        <v>16.222799999999999</v>
      </c>
      <c r="I425" s="45">
        <v>0</v>
      </c>
      <c r="J425" s="45">
        <f>'NonPublic Enrollment'!$I425*0.2906</f>
        <v>0</v>
      </c>
      <c r="K425" s="45">
        <f>'NonPublic Enrollment'!$D425+'NonPublic Enrollment'!$F425+'NonPublic Enrollment'!$H425+'NonPublic Enrollment'!$J425</f>
        <v>193.4228</v>
      </c>
      <c r="L425" s="39" t="s">
        <v>2562</v>
      </c>
    </row>
    <row r="426" spans="1:12">
      <c r="A426" s="36" t="s">
        <v>2561</v>
      </c>
      <c r="B426" s="36" t="str">
        <f>"057430"</f>
        <v>057430</v>
      </c>
      <c r="C426" s="36" t="s">
        <v>2854</v>
      </c>
      <c r="D426" s="44">
        <v>293</v>
      </c>
      <c r="E426" s="44">
        <v>12</v>
      </c>
      <c r="F426" s="44">
        <f>'NonPublic Enrollment'!$E426*0.1</f>
        <v>1.2000000000000002</v>
      </c>
      <c r="G426" s="44">
        <v>21</v>
      </c>
      <c r="H426" s="44">
        <f>'NonPublic Enrollment'!$G426*0.7374</f>
        <v>15.485400000000002</v>
      </c>
      <c r="I426" s="44">
        <v>0</v>
      </c>
      <c r="J426" s="44">
        <f>'NonPublic Enrollment'!$I426*0.2906</f>
        <v>0</v>
      </c>
      <c r="K426" s="44">
        <f>'NonPublic Enrollment'!$D426+'NonPublic Enrollment'!$F426+'NonPublic Enrollment'!$H426+'NonPublic Enrollment'!$J426</f>
        <v>309.68540000000002</v>
      </c>
      <c r="L426" s="37" t="s">
        <v>2586</v>
      </c>
    </row>
    <row r="427" spans="1:12">
      <c r="A427" s="38" t="s">
        <v>2561</v>
      </c>
      <c r="B427" s="38" t="str">
        <f>"055103"</f>
        <v>055103</v>
      </c>
      <c r="C427" s="38" t="s">
        <v>2796</v>
      </c>
      <c r="D427" s="45">
        <v>549</v>
      </c>
      <c r="E427" s="45">
        <v>16</v>
      </c>
      <c r="F427" s="45">
        <f>'NonPublic Enrollment'!$E427*0.1</f>
        <v>1.6</v>
      </c>
      <c r="G427" s="45">
        <v>21</v>
      </c>
      <c r="H427" s="45">
        <f>'NonPublic Enrollment'!$G427*0.7374</f>
        <v>15.485400000000002</v>
      </c>
      <c r="I427" s="45">
        <v>0</v>
      </c>
      <c r="J427" s="45">
        <f>'NonPublic Enrollment'!$I427*0.2906</f>
        <v>0</v>
      </c>
      <c r="K427" s="45">
        <f>'NonPublic Enrollment'!$D427+'NonPublic Enrollment'!$F427+'NonPublic Enrollment'!$H427+'NonPublic Enrollment'!$J427</f>
        <v>566.08540000000005</v>
      </c>
      <c r="L427" s="39" t="s">
        <v>2591</v>
      </c>
    </row>
    <row r="428" spans="1:12">
      <c r="A428" s="36" t="s">
        <v>2561</v>
      </c>
      <c r="B428" s="36" t="str">
        <f>"054486"</f>
        <v>054486</v>
      </c>
      <c r="C428" s="36" t="s">
        <v>2853</v>
      </c>
      <c r="D428" s="44">
        <v>414</v>
      </c>
      <c r="E428" s="44">
        <v>38</v>
      </c>
      <c r="F428" s="44">
        <f>'NonPublic Enrollment'!$E428*0.1</f>
        <v>3.8000000000000003</v>
      </c>
      <c r="G428" s="44">
        <v>21</v>
      </c>
      <c r="H428" s="44">
        <f>'NonPublic Enrollment'!$G428*0.7374</f>
        <v>15.485400000000002</v>
      </c>
      <c r="I428" s="44">
        <v>0</v>
      </c>
      <c r="J428" s="44">
        <f>'NonPublic Enrollment'!$I428*0.2906</f>
        <v>0</v>
      </c>
      <c r="K428" s="44">
        <f>'NonPublic Enrollment'!$D428+'NonPublic Enrollment'!$F428+'NonPublic Enrollment'!$H428+'NonPublic Enrollment'!$J428</f>
        <v>433.28540000000004</v>
      </c>
      <c r="L428" s="37" t="s">
        <v>2591</v>
      </c>
    </row>
    <row r="429" spans="1:12">
      <c r="A429" s="38" t="s">
        <v>2561</v>
      </c>
      <c r="B429" s="38" t="str">
        <f>"070656"</f>
        <v>070656</v>
      </c>
      <c r="C429" s="38" t="s">
        <v>2852</v>
      </c>
      <c r="D429" s="45">
        <v>106</v>
      </c>
      <c r="E429" s="45">
        <v>65</v>
      </c>
      <c r="F429" s="45">
        <f>'NonPublic Enrollment'!$E429*0.1</f>
        <v>6.5</v>
      </c>
      <c r="G429" s="45">
        <v>21</v>
      </c>
      <c r="H429" s="45">
        <f>'NonPublic Enrollment'!$G429*0.7374</f>
        <v>15.485400000000002</v>
      </c>
      <c r="I429" s="45">
        <v>0</v>
      </c>
      <c r="J429" s="45">
        <f>'NonPublic Enrollment'!$I429*0.2906</f>
        <v>0</v>
      </c>
      <c r="K429" s="45">
        <f>'NonPublic Enrollment'!$D429+'NonPublic Enrollment'!$F429+'NonPublic Enrollment'!$H429+'NonPublic Enrollment'!$J429</f>
        <v>127.9854</v>
      </c>
      <c r="L429" s="39" t="s">
        <v>2562</v>
      </c>
    </row>
    <row r="430" spans="1:12">
      <c r="A430" s="36" t="s">
        <v>2561</v>
      </c>
      <c r="B430" s="36" t="str">
        <f>"089722"</f>
        <v>089722</v>
      </c>
      <c r="C430" s="36" t="s">
        <v>2851</v>
      </c>
      <c r="D430" s="44">
        <v>517</v>
      </c>
      <c r="E430" s="44">
        <v>0</v>
      </c>
      <c r="F430" s="44">
        <f>'NonPublic Enrollment'!$E430*0.1</f>
        <v>0</v>
      </c>
      <c r="G430" s="44">
        <v>21</v>
      </c>
      <c r="H430" s="44">
        <f>'NonPublic Enrollment'!$G430*0.7374</f>
        <v>15.485400000000002</v>
      </c>
      <c r="I430" s="44">
        <v>0</v>
      </c>
      <c r="J430" s="44">
        <f>'NonPublic Enrollment'!$I430*0.2906</f>
        <v>0</v>
      </c>
      <c r="K430" s="44">
        <f>'NonPublic Enrollment'!$D430+'NonPublic Enrollment'!$F430+'NonPublic Enrollment'!$H430+'NonPublic Enrollment'!$J430</f>
        <v>532.48540000000003</v>
      </c>
      <c r="L430" s="37" t="s">
        <v>2562</v>
      </c>
    </row>
    <row r="431" spans="1:12">
      <c r="A431" s="38" t="s">
        <v>2561</v>
      </c>
      <c r="B431" s="38" t="str">
        <f>"055046"</f>
        <v>055046</v>
      </c>
      <c r="C431" s="38" t="s">
        <v>2850</v>
      </c>
      <c r="D431" s="45">
        <v>338</v>
      </c>
      <c r="E431" s="45">
        <v>23</v>
      </c>
      <c r="F431" s="45">
        <f>'NonPublic Enrollment'!$E431*0.1</f>
        <v>2.3000000000000003</v>
      </c>
      <c r="G431" s="45">
        <v>20</v>
      </c>
      <c r="H431" s="45">
        <f>'NonPublic Enrollment'!$G431*0.7374</f>
        <v>14.748000000000001</v>
      </c>
      <c r="I431" s="45">
        <v>0</v>
      </c>
      <c r="J431" s="45">
        <f>'NonPublic Enrollment'!$I431*0.2906</f>
        <v>0</v>
      </c>
      <c r="K431" s="45">
        <f>'NonPublic Enrollment'!$D431+'NonPublic Enrollment'!$F431+'NonPublic Enrollment'!$H431+'NonPublic Enrollment'!$J431</f>
        <v>355.048</v>
      </c>
      <c r="L431" s="39" t="s">
        <v>2591</v>
      </c>
    </row>
    <row r="432" spans="1:12">
      <c r="A432" s="36" t="s">
        <v>2561</v>
      </c>
      <c r="B432" s="36" t="str">
        <f>"095711"</f>
        <v>095711</v>
      </c>
      <c r="C432" s="36" t="s">
        <v>2849</v>
      </c>
      <c r="D432" s="44">
        <v>154</v>
      </c>
      <c r="E432" s="44">
        <v>56</v>
      </c>
      <c r="F432" s="44">
        <f>'NonPublic Enrollment'!$E432*0.1</f>
        <v>5.6000000000000005</v>
      </c>
      <c r="G432" s="44">
        <v>20</v>
      </c>
      <c r="H432" s="44">
        <f>'NonPublic Enrollment'!$G432*0.7374</f>
        <v>14.748000000000001</v>
      </c>
      <c r="I432" s="44">
        <v>0</v>
      </c>
      <c r="J432" s="44">
        <f>'NonPublic Enrollment'!$I432*0.2906</f>
        <v>0</v>
      </c>
      <c r="K432" s="44">
        <f>'NonPublic Enrollment'!$D432+'NonPublic Enrollment'!$F432+'NonPublic Enrollment'!$H432+'NonPublic Enrollment'!$J432</f>
        <v>174.34799999999998</v>
      </c>
      <c r="L432" s="37" t="s">
        <v>2580</v>
      </c>
    </row>
    <row r="433" spans="1:12">
      <c r="A433" s="38" t="s">
        <v>2561</v>
      </c>
      <c r="B433" s="38" t="str">
        <f>"053934"</f>
        <v>053934</v>
      </c>
      <c r="C433" s="38" t="s">
        <v>2848</v>
      </c>
      <c r="D433" s="45">
        <v>431</v>
      </c>
      <c r="E433" s="45">
        <v>82</v>
      </c>
      <c r="F433" s="45">
        <f>'NonPublic Enrollment'!$E433*0.1</f>
        <v>8.2000000000000011</v>
      </c>
      <c r="G433" s="45">
        <v>20</v>
      </c>
      <c r="H433" s="45">
        <f>'NonPublic Enrollment'!$G433*0.7374</f>
        <v>14.748000000000001</v>
      </c>
      <c r="I433" s="45">
        <v>0</v>
      </c>
      <c r="J433" s="45">
        <f>'NonPublic Enrollment'!$I433*0.2906</f>
        <v>0</v>
      </c>
      <c r="K433" s="45">
        <f>'NonPublic Enrollment'!$D433+'NonPublic Enrollment'!$F433+'NonPublic Enrollment'!$H433+'NonPublic Enrollment'!$J433</f>
        <v>453.94799999999998</v>
      </c>
      <c r="L433" s="39" t="s">
        <v>2562</v>
      </c>
    </row>
    <row r="434" spans="1:12">
      <c r="A434" s="36" t="s">
        <v>2561</v>
      </c>
      <c r="B434" s="36" t="str">
        <f>"060590"</f>
        <v>060590</v>
      </c>
      <c r="C434" s="36" t="s">
        <v>2847</v>
      </c>
      <c r="D434" s="44">
        <v>232</v>
      </c>
      <c r="E434" s="44">
        <v>129</v>
      </c>
      <c r="F434" s="44">
        <f>'NonPublic Enrollment'!$E434*0.1</f>
        <v>12.9</v>
      </c>
      <c r="G434" s="44">
        <v>20</v>
      </c>
      <c r="H434" s="44">
        <f>'NonPublic Enrollment'!$G434*0.7374</f>
        <v>14.748000000000001</v>
      </c>
      <c r="I434" s="44">
        <v>0</v>
      </c>
      <c r="J434" s="44">
        <f>'NonPublic Enrollment'!$I434*0.2906</f>
        <v>0</v>
      </c>
      <c r="K434" s="44">
        <f>'NonPublic Enrollment'!$D434+'NonPublic Enrollment'!$F434+'NonPublic Enrollment'!$H434+'NonPublic Enrollment'!$J434</f>
        <v>259.64800000000002</v>
      </c>
      <c r="L434" s="37" t="s">
        <v>2562</v>
      </c>
    </row>
    <row r="435" spans="1:12">
      <c r="A435" s="38" t="s">
        <v>2561</v>
      </c>
      <c r="B435" s="38" t="str">
        <f>"056127"</f>
        <v>056127</v>
      </c>
      <c r="C435" s="38" t="s">
        <v>2846</v>
      </c>
      <c r="D435" s="45">
        <v>276</v>
      </c>
      <c r="E435" s="45">
        <v>165</v>
      </c>
      <c r="F435" s="45">
        <f>'NonPublic Enrollment'!$E435*0.1</f>
        <v>16.5</v>
      </c>
      <c r="G435" s="45">
        <v>20</v>
      </c>
      <c r="H435" s="45">
        <f>'NonPublic Enrollment'!$G435*0.7374</f>
        <v>14.748000000000001</v>
      </c>
      <c r="I435" s="45">
        <v>0</v>
      </c>
      <c r="J435" s="45">
        <f>'NonPublic Enrollment'!$I435*0.2906</f>
        <v>0</v>
      </c>
      <c r="K435" s="45">
        <f>'NonPublic Enrollment'!$D435+'NonPublic Enrollment'!$F435+'NonPublic Enrollment'!$H435+'NonPublic Enrollment'!$J435</f>
        <v>307.24799999999999</v>
      </c>
      <c r="L435" s="39" t="s">
        <v>2562</v>
      </c>
    </row>
    <row r="436" spans="1:12">
      <c r="A436" s="36" t="s">
        <v>2561</v>
      </c>
      <c r="B436" s="36" t="str">
        <f>"053900"</f>
        <v>053900</v>
      </c>
      <c r="C436" s="36" t="s">
        <v>2845</v>
      </c>
      <c r="D436" s="44">
        <v>773</v>
      </c>
      <c r="E436" s="44">
        <v>0</v>
      </c>
      <c r="F436" s="44">
        <f>'NonPublic Enrollment'!$E436*0.1</f>
        <v>0</v>
      </c>
      <c r="G436" s="44">
        <v>20</v>
      </c>
      <c r="H436" s="44">
        <f>'NonPublic Enrollment'!$G436*0.7374</f>
        <v>14.748000000000001</v>
      </c>
      <c r="I436" s="44">
        <v>0</v>
      </c>
      <c r="J436" s="44">
        <f>'NonPublic Enrollment'!$I436*0.2906</f>
        <v>0</v>
      </c>
      <c r="K436" s="44">
        <f>'NonPublic Enrollment'!$D436+'NonPublic Enrollment'!$F436+'NonPublic Enrollment'!$H436+'NonPublic Enrollment'!$J436</f>
        <v>787.74800000000005</v>
      </c>
      <c r="L436" s="37" t="s">
        <v>2562</v>
      </c>
    </row>
    <row r="437" spans="1:12">
      <c r="A437" s="38" t="s">
        <v>2561</v>
      </c>
      <c r="B437" s="38" t="str">
        <f>"058941"</f>
        <v>058941</v>
      </c>
      <c r="C437" s="38" t="s">
        <v>2844</v>
      </c>
      <c r="D437" s="45">
        <v>174</v>
      </c>
      <c r="E437" s="45">
        <v>93</v>
      </c>
      <c r="F437" s="45">
        <f>'NonPublic Enrollment'!$E437*0.1</f>
        <v>9.3000000000000007</v>
      </c>
      <c r="G437" s="45">
        <v>19</v>
      </c>
      <c r="H437" s="45">
        <f>'NonPublic Enrollment'!$G437*0.7374</f>
        <v>14.0106</v>
      </c>
      <c r="I437" s="45">
        <v>0</v>
      </c>
      <c r="J437" s="45">
        <f>'NonPublic Enrollment'!$I437*0.2906</f>
        <v>0</v>
      </c>
      <c r="K437" s="45">
        <f>'NonPublic Enrollment'!$D437+'NonPublic Enrollment'!$F437+'NonPublic Enrollment'!$H437+'NonPublic Enrollment'!$J437</f>
        <v>197.31060000000002</v>
      </c>
      <c r="L437" s="39" t="s">
        <v>2562</v>
      </c>
    </row>
    <row r="438" spans="1:12">
      <c r="A438" s="36" t="s">
        <v>2561</v>
      </c>
      <c r="B438" s="36" t="str">
        <f>"056531"</f>
        <v>056531</v>
      </c>
      <c r="C438" s="36" t="s">
        <v>2843</v>
      </c>
      <c r="D438" s="44">
        <v>421</v>
      </c>
      <c r="E438" s="44">
        <v>144</v>
      </c>
      <c r="F438" s="44">
        <f>'NonPublic Enrollment'!$E438*0.1</f>
        <v>14.4</v>
      </c>
      <c r="G438" s="44">
        <v>19</v>
      </c>
      <c r="H438" s="44">
        <f>'NonPublic Enrollment'!$G438*0.7374</f>
        <v>14.0106</v>
      </c>
      <c r="I438" s="44">
        <v>0</v>
      </c>
      <c r="J438" s="44">
        <f>'NonPublic Enrollment'!$I438*0.2906</f>
        <v>0</v>
      </c>
      <c r="K438" s="44">
        <f>'NonPublic Enrollment'!$D438+'NonPublic Enrollment'!$F438+'NonPublic Enrollment'!$H438+'NonPublic Enrollment'!$J438</f>
        <v>449.41059999999999</v>
      </c>
      <c r="L438" s="37" t="s">
        <v>2569</v>
      </c>
    </row>
    <row r="439" spans="1:12">
      <c r="A439" s="38" t="s">
        <v>2561</v>
      </c>
      <c r="B439" s="38" t="str">
        <f>"052621"</f>
        <v>052621</v>
      </c>
      <c r="C439" s="38" t="s">
        <v>2842</v>
      </c>
      <c r="D439" s="45">
        <v>572</v>
      </c>
      <c r="E439" s="45">
        <v>0</v>
      </c>
      <c r="F439" s="45">
        <f>'NonPublic Enrollment'!$E439*0.1</f>
        <v>0</v>
      </c>
      <c r="G439" s="45">
        <v>19</v>
      </c>
      <c r="H439" s="45">
        <f>'NonPublic Enrollment'!$G439*0.7374</f>
        <v>14.0106</v>
      </c>
      <c r="I439" s="45">
        <v>0</v>
      </c>
      <c r="J439" s="45">
        <f>'NonPublic Enrollment'!$I439*0.2906</f>
        <v>0</v>
      </c>
      <c r="K439" s="45">
        <f>'NonPublic Enrollment'!$D439+'NonPublic Enrollment'!$F439+'NonPublic Enrollment'!$H439+'NonPublic Enrollment'!$J439</f>
        <v>586.01059999999995</v>
      </c>
      <c r="L439" s="39" t="s">
        <v>2591</v>
      </c>
    </row>
    <row r="440" spans="1:12">
      <c r="A440" s="36" t="s">
        <v>2561</v>
      </c>
      <c r="B440" s="36" t="str">
        <f>"057232"</f>
        <v>057232</v>
      </c>
      <c r="C440" s="36" t="s">
        <v>2841</v>
      </c>
      <c r="D440" s="44">
        <v>265</v>
      </c>
      <c r="E440" s="44">
        <v>0</v>
      </c>
      <c r="F440" s="44">
        <f>'NonPublic Enrollment'!$E440*0.1</f>
        <v>0</v>
      </c>
      <c r="G440" s="44">
        <v>19</v>
      </c>
      <c r="H440" s="44">
        <f>'NonPublic Enrollment'!$G440*0.7374</f>
        <v>14.0106</v>
      </c>
      <c r="I440" s="44">
        <v>0</v>
      </c>
      <c r="J440" s="44">
        <f>'NonPublic Enrollment'!$I440*0.2906</f>
        <v>0</v>
      </c>
      <c r="K440" s="44">
        <f>'NonPublic Enrollment'!$D440+'NonPublic Enrollment'!$F440+'NonPublic Enrollment'!$H440+'NonPublic Enrollment'!$J440</f>
        <v>279.01060000000001</v>
      </c>
      <c r="L440" s="37" t="s">
        <v>2586</v>
      </c>
    </row>
    <row r="441" spans="1:12">
      <c r="A441" s="38" t="s">
        <v>2561</v>
      </c>
      <c r="B441" s="38" t="str">
        <f>"071001"</f>
        <v>071001</v>
      </c>
      <c r="C441" s="38" t="s">
        <v>2840</v>
      </c>
      <c r="D441" s="45">
        <v>341</v>
      </c>
      <c r="E441" s="45">
        <v>0</v>
      </c>
      <c r="F441" s="45">
        <f>'NonPublic Enrollment'!$E441*0.1</f>
        <v>0</v>
      </c>
      <c r="G441" s="45">
        <v>19</v>
      </c>
      <c r="H441" s="45">
        <f>'NonPublic Enrollment'!$G441*0.7374</f>
        <v>14.0106</v>
      </c>
      <c r="I441" s="45">
        <v>0</v>
      </c>
      <c r="J441" s="45">
        <f>'NonPublic Enrollment'!$I441*0.2906</f>
        <v>0</v>
      </c>
      <c r="K441" s="45">
        <f>'NonPublic Enrollment'!$D441+'NonPublic Enrollment'!$F441+'NonPublic Enrollment'!$H441+'NonPublic Enrollment'!$J441</f>
        <v>355.01060000000001</v>
      </c>
      <c r="L441" s="39" t="s">
        <v>2569</v>
      </c>
    </row>
    <row r="442" spans="1:12">
      <c r="A442" s="36" t="s">
        <v>2561</v>
      </c>
      <c r="B442" s="36" t="str">
        <f>"110411"</f>
        <v>110411</v>
      </c>
      <c r="C442" s="36" t="s">
        <v>2839</v>
      </c>
      <c r="D442" s="44">
        <v>140</v>
      </c>
      <c r="E442" s="44">
        <v>0</v>
      </c>
      <c r="F442" s="44">
        <f>'NonPublic Enrollment'!$E442*0.1</f>
        <v>0</v>
      </c>
      <c r="G442" s="44">
        <v>18</v>
      </c>
      <c r="H442" s="44">
        <f>'NonPublic Enrollment'!$G442*0.7374</f>
        <v>13.273200000000001</v>
      </c>
      <c r="I442" s="44">
        <v>0</v>
      </c>
      <c r="J442" s="44">
        <f>'NonPublic Enrollment'!$I442*0.2906</f>
        <v>0</v>
      </c>
      <c r="K442" s="44">
        <f>'NonPublic Enrollment'!$D442+'NonPublic Enrollment'!$F442+'NonPublic Enrollment'!$H442+'NonPublic Enrollment'!$J442</f>
        <v>153.2732</v>
      </c>
      <c r="L442" s="37" t="s">
        <v>2562</v>
      </c>
    </row>
    <row r="443" spans="1:12">
      <c r="A443" s="38" t="s">
        <v>2561</v>
      </c>
      <c r="B443" s="38" t="str">
        <f>"059303"</f>
        <v>059303</v>
      </c>
      <c r="C443" s="38" t="s">
        <v>2838</v>
      </c>
      <c r="D443" s="45">
        <v>387</v>
      </c>
      <c r="E443" s="45">
        <v>27</v>
      </c>
      <c r="F443" s="45">
        <f>'NonPublic Enrollment'!$E443*0.1</f>
        <v>2.7</v>
      </c>
      <c r="G443" s="45">
        <v>18</v>
      </c>
      <c r="H443" s="45">
        <f>'NonPublic Enrollment'!$G443*0.7374</f>
        <v>13.273200000000001</v>
      </c>
      <c r="I443" s="45">
        <v>0</v>
      </c>
      <c r="J443" s="45">
        <f>'NonPublic Enrollment'!$I443*0.2906</f>
        <v>0</v>
      </c>
      <c r="K443" s="45">
        <f>'NonPublic Enrollment'!$D443+'NonPublic Enrollment'!$F443+'NonPublic Enrollment'!$H443+'NonPublic Enrollment'!$J443</f>
        <v>402.97319999999996</v>
      </c>
      <c r="L443" s="39" t="s">
        <v>2562</v>
      </c>
    </row>
    <row r="444" spans="1:12">
      <c r="A444" s="36" t="s">
        <v>2561</v>
      </c>
      <c r="B444" s="36" t="str">
        <f>"056648"</f>
        <v>056648</v>
      </c>
      <c r="C444" s="36" t="s">
        <v>2837</v>
      </c>
      <c r="D444" s="44">
        <v>423</v>
      </c>
      <c r="E444" s="44">
        <v>36</v>
      </c>
      <c r="F444" s="44">
        <f>'NonPublic Enrollment'!$E444*0.1</f>
        <v>3.6</v>
      </c>
      <c r="G444" s="44">
        <v>18</v>
      </c>
      <c r="H444" s="44">
        <f>'NonPublic Enrollment'!$G444*0.7374</f>
        <v>13.273200000000001</v>
      </c>
      <c r="I444" s="44">
        <v>0</v>
      </c>
      <c r="J444" s="44">
        <f>'NonPublic Enrollment'!$I444*0.2906</f>
        <v>0</v>
      </c>
      <c r="K444" s="44">
        <f>'NonPublic Enrollment'!$D444+'NonPublic Enrollment'!$F444+'NonPublic Enrollment'!$H444+'NonPublic Enrollment'!$J444</f>
        <v>439.8732</v>
      </c>
      <c r="L444" s="37" t="s">
        <v>2569</v>
      </c>
    </row>
    <row r="445" spans="1:12">
      <c r="A445" s="38" t="s">
        <v>2561</v>
      </c>
      <c r="B445" s="38" t="str">
        <f>"132928"</f>
        <v>132928</v>
      </c>
      <c r="C445" s="38" t="s">
        <v>2836</v>
      </c>
      <c r="D445" s="45">
        <v>114</v>
      </c>
      <c r="E445" s="45">
        <v>81</v>
      </c>
      <c r="F445" s="45">
        <f>'NonPublic Enrollment'!$E445*0.1</f>
        <v>8.1</v>
      </c>
      <c r="G445" s="45">
        <v>18</v>
      </c>
      <c r="H445" s="45">
        <f>'NonPublic Enrollment'!$G445*0.7374</f>
        <v>13.273200000000001</v>
      </c>
      <c r="I445" s="45">
        <v>0</v>
      </c>
      <c r="J445" s="45">
        <f>'NonPublic Enrollment'!$I445*0.2906</f>
        <v>0</v>
      </c>
      <c r="K445" s="45">
        <f>'NonPublic Enrollment'!$D445+'NonPublic Enrollment'!$F445+'NonPublic Enrollment'!$H445+'NonPublic Enrollment'!$J445</f>
        <v>135.3732</v>
      </c>
      <c r="L445" s="39" t="s">
        <v>2572</v>
      </c>
    </row>
    <row r="446" spans="1:12">
      <c r="A446" s="36" t="s">
        <v>2561</v>
      </c>
      <c r="B446" s="36" t="str">
        <f>"055442"</f>
        <v>055442</v>
      </c>
      <c r="C446" s="36" t="s">
        <v>2673</v>
      </c>
      <c r="D446" s="44">
        <v>415</v>
      </c>
      <c r="E446" s="44">
        <v>83</v>
      </c>
      <c r="F446" s="44">
        <f>'NonPublic Enrollment'!$E446*0.1</f>
        <v>8.3000000000000007</v>
      </c>
      <c r="G446" s="44">
        <v>18</v>
      </c>
      <c r="H446" s="44">
        <f>'NonPublic Enrollment'!$G446*0.7374</f>
        <v>13.273200000000001</v>
      </c>
      <c r="I446" s="44">
        <v>0</v>
      </c>
      <c r="J446" s="44">
        <f>'NonPublic Enrollment'!$I446*0.2906</f>
        <v>0</v>
      </c>
      <c r="K446" s="44">
        <f>'NonPublic Enrollment'!$D446+'NonPublic Enrollment'!$F446+'NonPublic Enrollment'!$H446+'NonPublic Enrollment'!$J446</f>
        <v>436.57319999999999</v>
      </c>
      <c r="L446" s="37" t="s">
        <v>2591</v>
      </c>
    </row>
    <row r="447" spans="1:12">
      <c r="A447" s="38" t="s">
        <v>2561</v>
      </c>
      <c r="B447" s="38" t="str">
        <f>"056762"</f>
        <v>056762</v>
      </c>
      <c r="C447" s="38" t="s">
        <v>2835</v>
      </c>
      <c r="D447" s="45">
        <v>318</v>
      </c>
      <c r="E447" s="45">
        <v>86</v>
      </c>
      <c r="F447" s="45">
        <f>'NonPublic Enrollment'!$E447*0.1</f>
        <v>8.6</v>
      </c>
      <c r="G447" s="45">
        <v>18</v>
      </c>
      <c r="H447" s="45">
        <f>'NonPublic Enrollment'!$G447*0.7374</f>
        <v>13.273200000000001</v>
      </c>
      <c r="I447" s="45">
        <v>0</v>
      </c>
      <c r="J447" s="45">
        <f>'NonPublic Enrollment'!$I447*0.2906</f>
        <v>0</v>
      </c>
      <c r="K447" s="45">
        <f>'NonPublic Enrollment'!$D447+'NonPublic Enrollment'!$F447+'NonPublic Enrollment'!$H447+'NonPublic Enrollment'!$J447</f>
        <v>339.8732</v>
      </c>
      <c r="L447" s="39" t="s">
        <v>2569</v>
      </c>
    </row>
    <row r="448" spans="1:12">
      <c r="A448" s="36" t="s">
        <v>2561</v>
      </c>
      <c r="B448" s="36" t="str">
        <f>"057406"</f>
        <v>057406</v>
      </c>
      <c r="C448" s="36" t="s">
        <v>2673</v>
      </c>
      <c r="D448" s="44">
        <v>313</v>
      </c>
      <c r="E448" s="44">
        <v>126</v>
      </c>
      <c r="F448" s="44">
        <f>'NonPublic Enrollment'!$E448*0.1</f>
        <v>12.600000000000001</v>
      </c>
      <c r="G448" s="44">
        <v>18</v>
      </c>
      <c r="H448" s="44">
        <f>'NonPublic Enrollment'!$G448*0.7374</f>
        <v>13.273200000000001</v>
      </c>
      <c r="I448" s="44">
        <v>0</v>
      </c>
      <c r="J448" s="44">
        <f>'NonPublic Enrollment'!$I448*0.2906</f>
        <v>0</v>
      </c>
      <c r="K448" s="44">
        <f>'NonPublic Enrollment'!$D448+'NonPublic Enrollment'!$F448+'NonPublic Enrollment'!$H448+'NonPublic Enrollment'!$J448</f>
        <v>338.8732</v>
      </c>
      <c r="L448" s="37" t="s">
        <v>2586</v>
      </c>
    </row>
    <row r="449" spans="1:12">
      <c r="A449" s="38" t="s">
        <v>2561</v>
      </c>
      <c r="B449" s="38" t="str">
        <f>"056481"</f>
        <v>056481</v>
      </c>
      <c r="C449" s="38" t="s">
        <v>2834</v>
      </c>
      <c r="D449" s="45">
        <v>333</v>
      </c>
      <c r="E449" s="45">
        <v>137</v>
      </c>
      <c r="F449" s="45">
        <f>'NonPublic Enrollment'!$E449*0.1</f>
        <v>13.700000000000001</v>
      </c>
      <c r="G449" s="45">
        <v>18</v>
      </c>
      <c r="H449" s="45">
        <f>'NonPublic Enrollment'!$G449*0.7374</f>
        <v>13.273200000000001</v>
      </c>
      <c r="I449" s="45">
        <v>0</v>
      </c>
      <c r="J449" s="45">
        <f>'NonPublic Enrollment'!$I449*0.2906</f>
        <v>0</v>
      </c>
      <c r="K449" s="45">
        <f>'NonPublic Enrollment'!$D449+'NonPublic Enrollment'!$F449+'NonPublic Enrollment'!$H449+'NonPublic Enrollment'!$J449</f>
        <v>359.97319999999996</v>
      </c>
      <c r="L449" s="39" t="s">
        <v>2569</v>
      </c>
    </row>
    <row r="450" spans="1:12">
      <c r="A450" s="36" t="s">
        <v>2561</v>
      </c>
      <c r="B450" s="36" t="str">
        <f>"053256"</f>
        <v>053256</v>
      </c>
      <c r="C450" s="36" t="s">
        <v>2811</v>
      </c>
      <c r="D450" s="44">
        <v>355</v>
      </c>
      <c r="E450" s="44">
        <v>179</v>
      </c>
      <c r="F450" s="44">
        <f>'NonPublic Enrollment'!$E450*0.1</f>
        <v>17.900000000000002</v>
      </c>
      <c r="G450" s="44">
        <v>18</v>
      </c>
      <c r="H450" s="44">
        <f>'NonPublic Enrollment'!$G450*0.7374</f>
        <v>13.273200000000001</v>
      </c>
      <c r="I450" s="44">
        <v>0</v>
      </c>
      <c r="J450" s="44">
        <f>'NonPublic Enrollment'!$I450*0.2906</f>
        <v>0</v>
      </c>
      <c r="K450" s="44">
        <f>'NonPublic Enrollment'!$D450+'NonPublic Enrollment'!$F450+'NonPublic Enrollment'!$H450+'NonPublic Enrollment'!$J450</f>
        <v>386.17319999999995</v>
      </c>
      <c r="L450" s="37" t="s">
        <v>2562</v>
      </c>
    </row>
    <row r="451" spans="1:12">
      <c r="A451" s="38" t="s">
        <v>2561</v>
      </c>
      <c r="B451" s="38" t="str">
        <f>"054650"</f>
        <v>054650</v>
      </c>
      <c r="C451" s="38" t="s">
        <v>2699</v>
      </c>
      <c r="D451" s="45">
        <v>440</v>
      </c>
      <c r="E451" s="45">
        <v>0</v>
      </c>
      <c r="F451" s="45">
        <f>'NonPublic Enrollment'!$E451*0.1</f>
        <v>0</v>
      </c>
      <c r="G451" s="45">
        <v>18</v>
      </c>
      <c r="H451" s="45">
        <f>'NonPublic Enrollment'!$G451*0.7374</f>
        <v>13.273200000000001</v>
      </c>
      <c r="I451" s="45">
        <v>0</v>
      </c>
      <c r="J451" s="45">
        <f>'NonPublic Enrollment'!$I451*0.2906</f>
        <v>0</v>
      </c>
      <c r="K451" s="45">
        <f>'NonPublic Enrollment'!$D451+'NonPublic Enrollment'!$F451+'NonPublic Enrollment'!$H451+'NonPublic Enrollment'!$J451</f>
        <v>453.27319999999997</v>
      </c>
      <c r="L451" s="39" t="s">
        <v>2562</v>
      </c>
    </row>
    <row r="452" spans="1:12">
      <c r="A452" s="36" t="s">
        <v>2561</v>
      </c>
      <c r="B452" s="36" t="str">
        <f>"055608"</f>
        <v>055608</v>
      </c>
      <c r="C452" s="36" t="s">
        <v>2833</v>
      </c>
      <c r="D452" s="44">
        <v>307</v>
      </c>
      <c r="E452" s="44">
        <v>0</v>
      </c>
      <c r="F452" s="44">
        <f>'NonPublic Enrollment'!$E452*0.1</f>
        <v>0</v>
      </c>
      <c r="G452" s="44">
        <v>18</v>
      </c>
      <c r="H452" s="44">
        <f>'NonPublic Enrollment'!$G452*0.7374</f>
        <v>13.273200000000001</v>
      </c>
      <c r="I452" s="44">
        <v>0</v>
      </c>
      <c r="J452" s="44">
        <f>'NonPublic Enrollment'!$I452*0.2906</f>
        <v>0</v>
      </c>
      <c r="K452" s="44">
        <f>'NonPublic Enrollment'!$D452+'NonPublic Enrollment'!$F452+'NonPublic Enrollment'!$H452+'NonPublic Enrollment'!$J452</f>
        <v>320.27319999999997</v>
      </c>
      <c r="L452" s="37" t="s">
        <v>2562</v>
      </c>
    </row>
    <row r="453" spans="1:12">
      <c r="A453" s="38" t="s">
        <v>2561</v>
      </c>
      <c r="B453" s="38" t="str">
        <f>"057216"</f>
        <v>057216</v>
      </c>
      <c r="C453" s="38" t="s">
        <v>2832</v>
      </c>
      <c r="D453" s="45">
        <v>439</v>
      </c>
      <c r="E453" s="45">
        <v>20</v>
      </c>
      <c r="F453" s="45">
        <f>'NonPublic Enrollment'!$E453*0.1</f>
        <v>2</v>
      </c>
      <c r="G453" s="45">
        <v>17</v>
      </c>
      <c r="H453" s="45">
        <f>'NonPublic Enrollment'!$G453*0.7374</f>
        <v>12.535800000000002</v>
      </c>
      <c r="I453" s="45">
        <v>0</v>
      </c>
      <c r="J453" s="45">
        <f>'NonPublic Enrollment'!$I453*0.2906</f>
        <v>0</v>
      </c>
      <c r="K453" s="45">
        <f>'NonPublic Enrollment'!$D453+'NonPublic Enrollment'!$F453+'NonPublic Enrollment'!$H453+'NonPublic Enrollment'!$J453</f>
        <v>453.53579999999999</v>
      </c>
      <c r="L453" s="39" t="s">
        <v>2580</v>
      </c>
    </row>
    <row r="454" spans="1:12">
      <c r="A454" s="36" t="s">
        <v>2561</v>
      </c>
      <c r="B454" s="36" t="str">
        <f>"056754"</f>
        <v>056754</v>
      </c>
      <c r="C454" s="36" t="s">
        <v>2831</v>
      </c>
      <c r="D454" s="44">
        <v>177</v>
      </c>
      <c r="E454" s="44">
        <v>41</v>
      </c>
      <c r="F454" s="44">
        <f>'NonPublic Enrollment'!$E454*0.1</f>
        <v>4.1000000000000005</v>
      </c>
      <c r="G454" s="44">
        <v>17</v>
      </c>
      <c r="H454" s="44">
        <f>'NonPublic Enrollment'!$G454*0.7374</f>
        <v>12.535800000000002</v>
      </c>
      <c r="I454" s="44">
        <v>0</v>
      </c>
      <c r="J454" s="44">
        <f>'NonPublic Enrollment'!$I454*0.2906</f>
        <v>0</v>
      </c>
      <c r="K454" s="44">
        <f>'NonPublic Enrollment'!$D454+'NonPublic Enrollment'!$F454+'NonPublic Enrollment'!$H454+'NonPublic Enrollment'!$J454</f>
        <v>193.63579999999999</v>
      </c>
      <c r="L454" s="37" t="s">
        <v>2569</v>
      </c>
    </row>
    <row r="455" spans="1:12">
      <c r="A455" s="38" t="s">
        <v>2561</v>
      </c>
      <c r="B455" s="38" t="str">
        <f>"054973"</f>
        <v>054973</v>
      </c>
      <c r="C455" s="38" t="s">
        <v>2813</v>
      </c>
      <c r="D455" s="45">
        <v>347</v>
      </c>
      <c r="E455" s="45">
        <v>54</v>
      </c>
      <c r="F455" s="45">
        <f>'NonPublic Enrollment'!$E455*0.1</f>
        <v>5.4</v>
      </c>
      <c r="G455" s="45">
        <v>17</v>
      </c>
      <c r="H455" s="45">
        <f>'NonPublic Enrollment'!$G455*0.7374</f>
        <v>12.535800000000002</v>
      </c>
      <c r="I455" s="45">
        <v>0</v>
      </c>
      <c r="J455" s="45">
        <f>'NonPublic Enrollment'!$I455*0.2906</f>
        <v>0</v>
      </c>
      <c r="K455" s="45">
        <f>'NonPublic Enrollment'!$D455+'NonPublic Enrollment'!$F455+'NonPublic Enrollment'!$H455+'NonPublic Enrollment'!$J455</f>
        <v>364.93579999999997</v>
      </c>
      <c r="L455" s="39" t="s">
        <v>2562</v>
      </c>
    </row>
    <row r="456" spans="1:12">
      <c r="A456" s="36" t="s">
        <v>2561</v>
      </c>
      <c r="B456" s="36" t="str">
        <f>"058602"</f>
        <v>058602</v>
      </c>
      <c r="C456" s="36" t="s">
        <v>2830</v>
      </c>
      <c r="D456" s="44">
        <v>203</v>
      </c>
      <c r="E456" s="44">
        <v>74</v>
      </c>
      <c r="F456" s="44">
        <f>'NonPublic Enrollment'!$E456*0.1</f>
        <v>7.4</v>
      </c>
      <c r="G456" s="44">
        <v>17</v>
      </c>
      <c r="H456" s="44">
        <f>'NonPublic Enrollment'!$G456*0.7374</f>
        <v>12.535800000000002</v>
      </c>
      <c r="I456" s="44">
        <v>0</v>
      </c>
      <c r="J456" s="44">
        <f>'NonPublic Enrollment'!$I456*0.2906</f>
        <v>0</v>
      </c>
      <c r="K456" s="44">
        <f>'NonPublic Enrollment'!$D456+'NonPublic Enrollment'!$F456+'NonPublic Enrollment'!$H456+'NonPublic Enrollment'!$J456</f>
        <v>222.9358</v>
      </c>
      <c r="L456" s="37" t="s">
        <v>2562</v>
      </c>
    </row>
    <row r="457" spans="1:12">
      <c r="A457" s="38" t="s">
        <v>2561</v>
      </c>
      <c r="B457" s="38" t="str">
        <f>"056556"</f>
        <v>056556</v>
      </c>
      <c r="C457" s="38" t="s">
        <v>2830</v>
      </c>
      <c r="D457" s="45">
        <v>317</v>
      </c>
      <c r="E457" s="45">
        <v>163</v>
      </c>
      <c r="F457" s="45">
        <f>'NonPublic Enrollment'!$E457*0.1</f>
        <v>16.3</v>
      </c>
      <c r="G457" s="45">
        <v>17</v>
      </c>
      <c r="H457" s="45">
        <f>'NonPublic Enrollment'!$G457*0.7374</f>
        <v>12.535800000000002</v>
      </c>
      <c r="I457" s="45">
        <v>0</v>
      </c>
      <c r="J457" s="45">
        <f>'NonPublic Enrollment'!$I457*0.2906</f>
        <v>0</v>
      </c>
      <c r="K457" s="45">
        <f>'NonPublic Enrollment'!$D457+'NonPublic Enrollment'!$F457+'NonPublic Enrollment'!$H457+'NonPublic Enrollment'!$J457</f>
        <v>345.83580000000001</v>
      </c>
      <c r="L457" s="39" t="s">
        <v>2569</v>
      </c>
    </row>
    <row r="458" spans="1:12">
      <c r="A458" s="36" t="s">
        <v>2561</v>
      </c>
      <c r="B458" s="36" t="str">
        <f>"086678"</f>
        <v>086678</v>
      </c>
      <c r="C458" s="36" t="s">
        <v>2739</v>
      </c>
      <c r="D458" s="44">
        <v>566</v>
      </c>
      <c r="E458" s="44">
        <v>376</v>
      </c>
      <c r="F458" s="44">
        <f>'NonPublic Enrollment'!$E458*0.1</f>
        <v>37.6</v>
      </c>
      <c r="G458" s="44">
        <v>17</v>
      </c>
      <c r="H458" s="44">
        <f>'NonPublic Enrollment'!$G458*0.7374</f>
        <v>12.535800000000002</v>
      </c>
      <c r="I458" s="44">
        <v>0</v>
      </c>
      <c r="J458" s="44">
        <f>'NonPublic Enrollment'!$I458*0.2906</f>
        <v>0</v>
      </c>
      <c r="K458" s="44">
        <f>'NonPublic Enrollment'!$D458+'NonPublic Enrollment'!$F458+'NonPublic Enrollment'!$H458+'NonPublic Enrollment'!$J458</f>
        <v>616.13580000000002</v>
      </c>
      <c r="L458" s="37" t="s">
        <v>2562</v>
      </c>
    </row>
    <row r="459" spans="1:12">
      <c r="A459" s="38" t="s">
        <v>2561</v>
      </c>
      <c r="B459" s="38" t="str">
        <f>"008096"</f>
        <v>008096</v>
      </c>
      <c r="C459" s="38" t="s">
        <v>2829</v>
      </c>
      <c r="D459" s="45">
        <v>187</v>
      </c>
      <c r="E459" s="45">
        <v>0</v>
      </c>
      <c r="F459" s="45">
        <f>'NonPublic Enrollment'!$E459*0.1</f>
        <v>0</v>
      </c>
      <c r="G459" s="45">
        <v>17</v>
      </c>
      <c r="H459" s="45">
        <f>'NonPublic Enrollment'!$G459*0.7374</f>
        <v>12.535800000000002</v>
      </c>
      <c r="I459" s="45">
        <v>0</v>
      </c>
      <c r="J459" s="45">
        <f>'NonPublic Enrollment'!$I459*0.2906</f>
        <v>0</v>
      </c>
      <c r="K459" s="45">
        <f>'NonPublic Enrollment'!$D459+'NonPublic Enrollment'!$F459+'NonPublic Enrollment'!$H459+'NonPublic Enrollment'!$J459</f>
        <v>199.53579999999999</v>
      </c>
      <c r="L459" s="39" t="s">
        <v>2562</v>
      </c>
    </row>
    <row r="460" spans="1:12">
      <c r="A460" s="36" t="s">
        <v>2561</v>
      </c>
      <c r="B460" s="36" t="str">
        <f>"056804"</f>
        <v>056804</v>
      </c>
      <c r="C460" s="36" t="s">
        <v>2797</v>
      </c>
      <c r="D460" s="44">
        <v>268</v>
      </c>
      <c r="E460" s="44">
        <v>0</v>
      </c>
      <c r="F460" s="44">
        <f>'NonPublic Enrollment'!$E460*0.1</f>
        <v>0</v>
      </c>
      <c r="G460" s="44">
        <v>17</v>
      </c>
      <c r="H460" s="44">
        <f>'NonPublic Enrollment'!$G460*0.7374</f>
        <v>12.535800000000002</v>
      </c>
      <c r="I460" s="44">
        <v>0</v>
      </c>
      <c r="J460" s="44">
        <f>'NonPublic Enrollment'!$I460*0.2906</f>
        <v>0</v>
      </c>
      <c r="K460" s="44">
        <f>'NonPublic Enrollment'!$D460+'NonPublic Enrollment'!$F460+'NonPublic Enrollment'!$H460+'NonPublic Enrollment'!$J460</f>
        <v>280.53579999999999</v>
      </c>
      <c r="L460" s="37" t="s">
        <v>2569</v>
      </c>
    </row>
    <row r="461" spans="1:12">
      <c r="A461" s="38" t="s">
        <v>2561</v>
      </c>
      <c r="B461" s="38" t="str">
        <f>"132506"</f>
        <v>132506</v>
      </c>
      <c r="C461" s="38" t="s">
        <v>2828</v>
      </c>
      <c r="D461" s="45">
        <v>48</v>
      </c>
      <c r="E461" s="45">
        <v>0</v>
      </c>
      <c r="F461" s="45">
        <f>'NonPublic Enrollment'!$E461*0.1</f>
        <v>0</v>
      </c>
      <c r="G461" s="45">
        <v>17</v>
      </c>
      <c r="H461" s="45">
        <f>'NonPublic Enrollment'!$G461*0.7374</f>
        <v>12.535800000000002</v>
      </c>
      <c r="I461" s="45">
        <v>0</v>
      </c>
      <c r="J461" s="45">
        <f>'NonPublic Enrollment'!$I461*0.2906</f>
        <v>0</v>
      </c>
      <c r="K461" s="45">
        <f>'NonPublic Enrollment'!$D461+'NonPublic Enrollment'!$F461+'NonPublic Enrollment'!$H461+'NonPublic Enrollment'!$J461</f>
        <v>60.535800000000002</v>
      </c>
      <c r="L461" s="39" t="s">
        <v>2562</v>
      </c>
    </row>
    <row r="462" spans="1:12">
      <c r="A462" s="36" t="s">
        <v>2561</v>
      </c>
      <c r="B462" s="36" t="str">
        <f>"052720"</f>
        <v>052720</v>
      </c>
      <c r="C462" s="36" t="s">
        <v>2827</v>
      </c>
      <c r="D462" s="44">
        <v>881</v>
      </c>
      <c r="E462" s="44">
        <v>0</v>
      </c>
      <c r="F462" s="44">
        <f>'NonPublic Enrollment'!$E462*0.1</f>
        <v>0</v>
      </c>
      <c r="G462" s="44">
        <v>16</v>
      </c>
      <c r="H462" s="44">
        <f>'NonPublic Enrollment'!$G462*0.7374</f>
        <v>11.798400000000001</v>
      </c>
      <c r="I462" s="44">
        <v>0</v>
      </c>
      <c r="J462" s="44">
        <f>'NonPublic Enrollment'!$I462*0.2906</f>
        <v>0</v>
      </c>
      <c r="K462" s="44">
        <f>'NonPublic Enrollment'!$D462+'NonPublic Enrollment'!$F462+'NonPublic Enrollment'!$H462+'NonPublic Enrollment'!$J462</f>
        <v>892.79840000000002</v>
      </c>
      <c r="L462" s="37" t="s">
        <v>2591</v>
      </c>
    </row>
    <row r="463" spans="1:12">
      <c r="A463" s="38" t="s">
        <v>2561</v>
      </c>
      <c r="B463" s="38" t="str">
        <f>"054320"</f>
        <v>054320</v>
      </c>
      <c r="C463" s="38" t="s">
        <v>2826</v>
      </c>
      <c r="D463" s="45">
        <v>381</v>
      </c>
      <c r="E463" s="45">
        <v>4</v>
      </c>
      <c r="F463" s="45">
        <f>'NonPublic Enrollment'!$E463*0.1</f>
        <v>0.4</v>
      </c>
      <c r="G463" s="45">
        <v>16</v>
      </c>
      <c r="H463" s="45">
        <f>'NonPublic Enrollment'!$G463*0.7374</f>
        <v>11.798400000000001</v>
      </c>
      <c r="I463" s="45">
        <v>0</v>
      </c>
      <c r="J463" s="45">
        <f>'NonPublic Enrollment'!$I463*0.2906</f>
        <v>0</v>
      </c>
      <c r="K463" s="45">
        <f>'NonPublic Enrollment'!$D463+'NonPublic Enrollment'!$F463+'NonPublic Enrollment'!$H463+'NonPublic Enrollment'!$J463</f>
        <v>393.19839999999999</v>
      </c>
      <c r="L463" s="39" t="s">
        <v>2562</v>
      </c>
    </row>
    <row r="464" spans="1:12">
      <c r="A464" s="36" t="s">
        <v>2561</v>
      </c>
      <c r="B464" s="36" t="str">
        <f>"054387"</f>
        <v>054387</v>
      </c>
      <c r="C464" s="36" t="s">
        <v>2825</v>
      </c>
      <c r="D464" s="44">
        <v>155</v>
      </c>
      <c r="E464" s="44">
        <v>9</v>
      </c>
      <c r="F464" s="44">
        <f>'NonPublic Enrollment'!$E464*0.1</f>
        <v>0.9</v>
      </c>
      <c r="G464" s="44">
        <v>16</v>
      </c>
      <c r="H464" s="44">
        <f>'NonPublic Enrollment'!$G464*0.7374</f>
        <v>11.798400000000001</v>
      </c>
      <c r="I464" s="44">
        <v>0</v>
      </c>
      <c r="J464" s="44">
        <f>'NonPublic Enrollment'!$I464*0.2906</f>
        <v>0</v>
      </c>
      <c r="K464" s="44">
        <f>'NonPublic Enrollment'!$D464+'NonPublic Enrollment'!$F464+'NonPublic Enrollment'!$H464+'NonPublic Enrollment'!$J464</f>
        <v>167.69839999999999</v>
      </c>
      <c r="L464" s="37" t="s">
        <v>2562</v>
      </c>
    </row>
    <row r="465" spans="1:12">
      <c r="A465" s="38" t="s">
        <v>2561</v>
      </c>
      <c r="B465" s="38" t="str">
        <f>"059394"</f>
        <v>059394</v>
      </c>
      <c r="C465" s="38" t="s">
        <v>2736</v>
      </c>
      <c r="D465" s="45">
        <v>270</v>
      </c>
      <c r="E465" s="45">
        <v>9</v>
      </c>
      <c r="F465" s="45">
        <f>'NonPublic Enrollment'!$E465*0.1</f>
        <v>0.9</v>
      </c>
      <c r="G465" s="45">
        <v>16</v>
      </c>
      <c r="H465" s="45">
        <f>'NonPublic Enrollment'!$G465*0.7374</f>
        <v>11.798400000000001</v>
      </c>
      <c r="I465" s="45">
        <v>0</v>
      </c>
      <c r="J465" s="45">
        <f>'NonPublic Enrollment'!$I465*0.2906</f>
        <v>0</v>
      </c>
      <c r="K465" s="45">
        <f>'NonPublic Enrollment'!$D465+'NonPublic Enrollment'!$F465+'NonPublic Enrollment'!$H465+'NonPublic Enrollment'!$J465</f>
        <v>282.69839999999999</v>
      </c>
      <c r="L465" s="39" t="s">
        <v>2591</v>
      </c>
    </row>
    <row r="466" spans="1:12">
      <c r="A466" s="36" t="s">
        <v>2561</v>
      </c>
      <c r="B466" s="36" t="str">
        <f>"119313"</f>
        <v>119313</v>
      </c>
      <c r="C466" s="36" t="s">
        <v>2824</v>
      </c>
      <c r="D466" s="44">
        <v>53</v>
      </c>
      <c r="E466" s="44">
        <v>31</v>
      </c>
      <c r="F466" s="44">
        <f>'NonPublic Enrollment'!$E466*0.1</f>
        <v>3.1</v>
      </c>
      <c r="G466" s="44">
        <v>16</v>
      </c>
      <c r="H466" s="44">
        <f>'NonPublic Enrollment'!$G466*0.7374</f>
        <v>11.798400000000001</v>
      </c>
      <c r="I466" s="44">
        <v>0</v>
      </c>
      <c r="J466" s="44">
        <f>'NonPublic Enrollment'!$I466*0.2906</f>
        <v>0</v>
      </c>
      <c r="K466" s="44">
        <f>'NonPublic Enrollment'!$D466+'NonPublic Enrollment'!$F466+'NonPublic Enrollment'!$H466+'NonPublic Enrollment'!$J466</f>
        <v>67.898400000000009</v>
      </c>
      <c r="L466" s="37" t="s">
        <v>2562</v>
      </c>
    </row>
    <row r="467" spans="1:12">
      <c r="A467" s="38" t="s">
        <v>2561</v>
      </c>
      <c r="B467" s="38" t="str">
        <f>"053165"</f>
        <v>053165</v>
      </c>
      <c r="C467" s="38" t="s">
        <v>2823</v>
      </c>
      <c r="D467" s="45">
        <v>254</v>
      </c>
      <c r="E467" s="45">
        <v>42</v>
      </c>
      <c r="F467" s="45">
        <f>'NonPublic Enrollment'!$E467*0.1</f>
        <v>4.2</v>
      </c>
      <c r="G467" s="45">
        <v>16</v>
      </c>
      <c r="H467" s="45">
        <f>'NonPublic Enrollment'!$G467*0.7374</f>
        <v>11.798400000000001</v>
      </c>
      <c r="I467" s="45">
        <v>0</v>
      </c>
      <c r="J467" s="45">
        <f>'NonPublic Enrollment'!$I467*0.2906</f>
        <v>0</v>
      </c>
      <c r="K467" s="45">
        <f>'NonPublic Enrollment'!$D467+'NonPublic Enrollment'!$F467+'NonPublic Enrollment'!$H467+'NonPublic Enrollment'!$J467</f>
        <v>269.9984</v>
      </c>
      <c r="L467" s="39" t="s">
        <v>2562</v>
      </c>
    </row>
    <row r="468" spans="1:12">
      <c r="A468" s="36" t="s">
        <v>2561</v>
      </c>
      <c r="B468" s="36" t="str">
        <f>"059816"</f>
        <v>059816</v>
      </c>
      <c r="C468" s="36" t="s">
        <v>2702</v>
      </c>
      <c r="D468" s="44">
        <v>232</v>
      </c>
      <c r="E468" s="44">
        <v>42</v>
      </c>
      <c r="F468" s="44">
        <f>'NonPublic Enrollment'!$E468*0.1</f>
        <v>4.2</v>
      </c>
      <c r="G468" s="44">
        <v>16</v>
      </c>
      <c r="H468" s="44">
        <f>'NonPublic Enrollment'!$G468*0.7374</f>
        <v>11.798400000000001</v>
      </c>
      <c r="I468" s="44">
        <v>0</v>
      </c>
      <c r="J468" s="44">
        <f>'NonPublic Enrollment'!$I468*0.2906</f>
        <v>0</v>
      </c>
      <c r="K468" s="44">
        <f>'NonPublic Enrollment'!$D468+'NonPublic Enrollment'!$F468+'NonPublic Enrollment'!$H468+'NonPublic Enrollment'!$J468</f>
        <v>247.9984</v>
      </c>
      <c r="L468" s="37" t="s">
        <v>2562</v>
      </c>
    </row>
    <row r="469" spans="1:12">
      <c r="A469" s="38" t="s">
        <v>2561</v>
      </c>
      <c r="B469" s="38" t="str">
        <f>"058131"</f>
        <v>058131</v>
      </c>
      <c r="C469" s="38" t="s">
        <v>2736</v>
      </c>
      <c r="D469" s="45">
        <v>105</v>
      </c>
      <c r="E469" s="45">
        <v>43</v>
      </c>
      <c r="F469" s="45">
        <f>'NonPublic Enrollment'!$E469*0.1</f>
        <v>4.3</v>
      </c>
      <c r="G469" s="45">
        <v>16</v>
      </c>
      <c r="H469" s="45">
        <f>'NonPublic Enrollment'!$G469*0.7374</f>
        <v>11.798400000000001</v>
      </c>
      <c r="I469" s="45">
        <v>0</v>
      </c>
      <c r="J469" s="45">
        <f>'NonPublic Enrollment'!$I469*0.2906</f>
        <v>0</v>
      </c>
      <c r="K469" s="45">
        <f>'NonPublic Enrollment'!$D469+'NonPublic Enrollment'!$F469+'NonPublic Enrollment'!$H469+'NonPublic Enrollment'!$J469</f>
        <v>121.0984</v>
      </c>
      <c r="L469" s="39" t="s">
        <v>2562</v>
      </c>
    </row>
    <row r="470" spans="1:12">
      <c r="A470" s="36" t="s">
        <v>2561</v>
      </c>
      <c r="B470" s="36" t="str">
        <f>"015185"</f>
        <v>015185</v>
      </c>
      <c r="C470" s="36" t="s">
        <v>2822</v>
      </c>
      <c r="D470" s="44">
        <v>210</v>
      </c>
      <c r="E470" s="44">
        <v>45</v>
      </c>
      <c r="F470" s="44">
        <f>'NonPublic Enrollment'!$E470*0.1</f>
        <v>4.5</v>
      </c>
      <c r="G470" s="44">
        <v>16</v>
      </c>
      <c r="H470" s="44">
        <f>'NonPublic Enrollment'!$G470*0.7374</f>
        <v>11.798400000000001</v>
      </c>
      <c r="I470" s="44">
        <v>0</v>
      </c>
      <c r="J470" s="44">
        <f>'NonPublic Enrollment'!$I470*0.2906</f>
        <v>0</v>
      </c>
      <c r="K470" s="44">
        <f>'NonPublic Enrollment'!$D470+'NonPublic Enrollment'!$F470+'NonPublic Enrollment'!$H470+'NonPublic Enrollment'!$J470</f>
        <v>226.29840000000002</v>
      </c>
      <c r="L470" s="37" t="s">
        <v>2595</v>
      </c>
    </row>
    <row r="471" spans="1:12">
      <c r="A471" s="38" t="s">
        <v>2561</v>
      </c>
      <c r="B471" s="38" t="str">
        <f>"059428"</f>
        <v>059428</v>
      </c>
      <c r="C471" s="38" t="s">
        <v>2821</v>
      </c>
      <c r="D471" s="45">
        <v>158</v>
      </c>
      <c r="E471" s="45">
        <v>65</v>
      </c>
      <c r="F471" s="45">
        <f>'NonPublic Enrollment'!$E471*0.1</f>
        <v>6.5</v>
      </c>
      <c r="G471" s="45">
        <v>16</v>
      </c>
      <c r="H471" s="45">
        <f>'NonPublic Enrollment'!$G471*0.7374</f>
        <v>11.798400000000001</v>
      </c>
      <c r="I471" s="45">
        <v>0</v>
      </c>
      <c r="J471" s="45">
        <f>'NonPublic Enrollment'!$I471*0.2906</f>
        <v>0</v>
      </c>
      <c r="K471" s="45">
        <f>'NonPublic Enrollment'!$D471+'NonPublic Enrollment'!$F471+'NonPublic Enrollment'!$H471+'NonPublic Enrollment'!$J471</f>
        <v>176.29840000000002</v>
      </c>
      <c r="L471" s="39" t="s">
        <v>2591</v>
      </c>
    </row>
    <row r="472" spans="1:12">
      <c r="A472" s="36" t="s">
        <v>2561</v>
      </c>
      <c r="B472" s="36" t="str">
        <f>"058040"</f>
        <v>058040</v>
      </c>
      <c r="C472" s="36" t="s">
        <v>2820</v>
      </c>
      <c r="D472" s="44">
        <v>185</v>
      </c>
      <c r="E472" s="44">
        <v>70</v>
      </c>
      <c r="F472" s="44">
        <f>'NonPublic Enrollment'!$E472*0.1</f>
        <v>7</v>
      </c>
      <c r="G472" s="44">
        <v>16</v>
      </c>
      <c r="H472" s="44">
        <f>'NonPublic Enrollment'!$G472*0.7374</f>
        <v>11.798400000000001</v>
      </c>
      <c r="I472" s="44">
        <v>0</v>
      </c>
      <c r="J472" s="44">
        <f>'NonPublic Enrollment'!$I472*0.2906</f>
        <v>0</v>
      </c>
      <c r="K472" s="44">
        <f>'NonPublic Enrollment'!$D472+'NonPublic Enrollment'!$F472+'NonPublic Enrollment'!$H472+'NonPublic Enrollment'!$J472</f>
        <v>203.79840000000002</v>
      </c>
      <c r="L472" s="37" t="s">
        <v>2562</v>
      </c>
    </row>
    <row r="473" spans="1:12">
      <c r="A473" s="38" t="s">
        <v>2561</v>
      </c>
      <c r="B473" s="38" t="str">
        <f>"059378"</f>
        <v>059378</v>
      </c>
      <c r="C473" s="38" t="s">
        <v>2673</v>
      </c>
      <c r="D473" s="45">
        <v>130</v>
      </c>
      <c r="E473" s="45">
        <v>80</v>
      </c>
      <c r="F473" s="45">
        <f>'NonPublic Enrollment'!$E473*0.1</f>
        <v>8</v>
      </c>
      <c r="G473" s="45">
        <v>16</v>
      </c>
      <c r="H473" s="45">
        <f>'NonPublic Enrollment'!$G473*0.7374</f>
        <v>11.798400000000001</v>
      </c>
      <c r="I473" s="45">
        <v>0</v>
      </c>
      <c r="J473" s="45">
        <f>'NonPublic Enrollment'!$I473*0.2906</f>
        <v>0</v>
      </c>
      <c r="K473" s="45">
        <f>'NonPublic Enrollment'!$D473+'NonPublic Enrollment'!$F473+'NonPublic Enrollment'!$H473+'NonPublic Enrollment'!$J473</f>
        <v>149.79840000000002</v>
      </c>
      <c r="L473" s="39" t="s">
        <v>2591</v>
      </c>
    </row>
    <row r="474" spans="1:12">
      <c r="A474" s="36" t="s">
        <v>2561</v>
      </c>
      <c r="B474" s="36" t="str">
        <f>"054239"</f>
        <v>054239</v>
      </c>
      <c r="C474" s="36" t="s">
        <v>2819</v>
      </c>
      <c r="D474" s="44">
        <v>269</v>
      </c>
      <c r="E474" s="44">
        <v>105</v>
      </c>
      <c r="F474" s="44">
        <f>'NonPublic Enrollment'!$E474*0.1</f>
        <v>10.5</v>
      </c>
      <c r="G474" s="44">
        <v>16</v>
      </c>
      <c r="H474" s="44">
        <f>'NonPublic Enrollment'!$G474*0.7374</f>
        <v>11.798400000000001</v>
      </c>
      <c r="I474" s="44">
        <v>0</v>
      </c>
      <c r="J474" s="44">
        <f>'NonPublic Enrollment'!$I474*0.2906</f>
        <v>0</v>
      </c>
      <c r="K474" s="44">
        <f>'NonPublic Enrollment'!$D474+'NonPublic Enrollment'!$F474+'NonPublic Enrollment'!$H474+'NonPublic Enrollment'!$J474</f>
        <v>291.29840000000002</v>
      </c>
      <c r="L474" s="37" t="s">
        <v>2562</v>
      </c>
    </row>
    <row r="475" spans="1:12">
      <c r="A475" s="38" t="s">
        <v>2561</v>
      </c>
      <c r="B475" s="38" t="str">
        <f>"057182"</f>
        <v>057182</v>
      </c>
      <c r="C475" s="38" t="s">
        <v>2681</v>
      </c>
      <c r="D475" s="45">
        <v>233</v>
      </c>
      <c r="E475" s="45">
        <v>138</v>
      </c>
      <c r="F475" s="45">
        <f>'NonPublic Enrollment'!$E475*0.1</f>
        <v>13.8</v>
      </c>
      <c r="G475" s="45">
        <v>16</v>
      </c>
      <c r="H475" s="45">
        <f>'NonPublic Enrollment'!$G475*0.7374</f>
        <v>11.798400000000001</v>
      </c>
      <c r="I475" s="45">
        <v>0</v>
      </c>
      <c r="J475" s="45">
        <f>'NonPublic Enrollment'!$I475*0.2906</f>
        <v>0</v>
      </c>
      <c r="K475" s="45">
        <f>'NonPublic Enrollment'!$D475+'NonPublic Enrollment'!$F475+'NonPublic Enrollment'!$H475+'NonPublic Enrollment'!$J475</f>
        <v>258.59840000000003</v>
      </c>
      <c r="L475" s="39" t="s">
        <v>2586</v>
      </c>
    </row>
    <row r="476" spans="1:12">
      <c r="A476" s="36" t="s">
        <v>2561</v>
      </c>
      <c r="B476" s="36" t="str">
        <f>"055210"</f>
        <v>055210</v>
      </c>
      <c r="C476" s="36" t="s">
        <v>2818</v>
      </c>
      <c r="D476" s="44">
        <v>472</v>
      </c>
      <c r="E476" s="44">
        <v>0</v>
      </c>
      <c r="F476" s="44">
        <f>'NonPublic Enrollment'!$E476*0.1</f>
        <v>0</v>
      </c>
      <c r="G476" s="44">
        <v>16</v>
      </c>
      <c r="H476" s="44">
        <f>'NonPublic Enrollment'!$G476*0.7374</f>
        <v>11.798400000000001</v>
      </c>
      <c r="I476" s="44">
        <v>0</v>
      </c>
      <c r="J476" s="44">
        <f>'NonPublic Enrollment'!$I476*0.2906</f>
        <v>0</v>
      </c>
      <c r="K476" s="44">
        <f>'NonPublic Enrollment'!$D476+'NonPublic Enrollment'!$F476+'NonPublic Enrollment'!$H476+'NonPublic Enrollment'!$J476</f>
        <v>483.79840000000002</v>
      </c>
      <c r="L476" s="37" t="s">
        <v>2591</v>
      </c>
    </row>
    <row r="477" spans="1:12">
      <c r="A477" s="38" t="s">
        <v>2561</v>
      </c>
      <c r="B477" s="38" t="str">
        <f>"133082"</f>
        <v>133082</v>
      </c>
      <c r="C477" s="38" t="s">
        <v>2817</v>
      </c>
      <c r="D477" s="45">
        <v>109</v>
      </c>
      <c r="E477" s="45">
        <v>0</v>
      </c>
      <c r="F477" s="45">
        <f>'NonPublic Enrollment'!$E477*0.1</f>
        <v>0</v>
      </c>
      <c r="G477" s="45">
        <v>16</v>
      </c>
      <c r="H477" s="45">
        <f>'NonPublic Enrollment'!$G477*0.7374</f>
        <v>11.798400000000001</v>
      </c>
      <c r="I477" s="45">
        <v>0</v>
      </c>
      <c r="J477" s="45">
        <f>'NonPublic Enrollment'!$I477*0.2906</f>
        <v>0</v>
      </c>
      <c r="K477" s="45">
        <f>'NonPublic Enrollment'!$D477+'NonPublic Enrollment'!$F477+'NonPublic Enrollment'!$H477+'NonPublic Enrollment'!$J477</f>
        <v>120.7984</v>
      </c>
      <c r="L477" s="39" t="s">
        <v>2580</v>
      </c>
    </row>
    <row r="478" spans="1:12">
      <c r="A478" s="36" t="s">
        <v>2561</v>
      </c>
      <c r="B478" s="36" t="str">
        <f>"052654"</f>
        <v>052654</v>
      </c>
      <c r="C478" s="36" t="s">
        <v>2816</v>
      </c>
      <c r="D478" s="44">
        <v>323</v>
      </c>
      <c r="E478" s="44">
        <v>0</v>
      </c>
      <c r="F478" s="44">
        <f>'NonPublic Enrollment'!$E478*0.1</f>
        <v>0</v>
      </c>
      <c r="G478" s="44">
        <v>15</v>
      </c>
      <c r="H478" s="44">
        <f>'NonPublic Enrollment'!$G478*0.7374</f>
        <v>11.061</v>
      </c>
      <c r="I478" s="44">
        <v>0</v>
      </c>
      <c r="J478" s="44">
        <f>'NonPublic Enrollment'!$I478*0.2906</f>
        <v>0</v>
      </c>
      <c r="K478" s="44">
        <f>'NonPublic Enrollment'!$D478+'NonPublic Enrollment'!$F478+'NonPublic Enrollment'!$H478+'NonPublic Enrollment'!$J478</f>
        <v>334.06099999999998</v>
      </c>
      <c r="L478" s="37" t="s">
        <v>2569</v>
      </c>
    </row>
    <row r="479" spans="1:12">
      <c r="A479" s="38" t="s">
        <v>2561</v>
      </c>
      <c r="B479" s="38" t="str">
        <f>"057463"</f>
        <v>057463</v>
      </c>
      <c r="C479" s="38" t="s">
        <v>2673</v>
      </c>
      <c r="D479" s="45">
        <v>191</v>
      </c>
      <c r="E479" s="45">
        <v>5</v>
      </c>
      <c r="F479" s="45">
        <f>'NonPublic Enrollment'!$E479*0.1</f>
        <v>0.5</v>
      </c>
      <c r="G479" s="45">
        <v>15</v>
      </c>
      <c r="H479" s="45">
        <f>'NonPublic Enrollment'!$G479*0.7374</f>
        <v>11.061</v>
      </c>
      <c r="I479" s="45">
        <v>0</v>
      </c>
      <c r="J479" s="45">
        <f>'NonPublic Enrollment'!$I479*0.2906</f>
        <v>0</v>
      </c>
      <c r="K479" s="45">
        <f>'NonPublic Enrollment'!$D479+'NonPublic Enrollment'!$F479+'NonPublic Enrollment'!$H479+'NonPublic Enrollment'!$J479</f>
        <v>202.56100000000001</v>
      </c>
      <c r="L479" s="39" t="s">
        <v>2586</v>
      </c>
    </row>
    <row r="480" spans="1:12">
      <c r="A480" s="36" t="s">
        <v>2561</v>
      </c>
      <c r="B480" s="36" t="str">
        <f>"057455"</f>
        <v>057455</v>
      </c>
      <c r="C480" s="36" t="s">
        <v>2815</v>
      </c>
      <c r="D480" s="44">
        <v>368</v>
      </c>
      <c r="E480" s="44">
        <v>9</v>
      </c>
      <c r="F480" s="44">
        <f>'NonPublic Enrollment'!$E480*0.1</f>
        <v>0.9</v>
      </c>
      <c r="G480" s="44">
        <v>15</v>
      </c>
      <c r="H480" s="44">
        <f>'NonPublic Enrollment'!$G480*0.7374</f>
        <v>11.061</v>
      </c>
      <c r="I480" s="44">
        <v>0</v>
      </c>
      <c r="J480" s="44">
        <f>'NonPublic Enrollment'!$I480*0.2906</f>
        <v>0</v>
      </c>
      <c r="K480" s="44">
        <f>'NonPublic Enrollment'!$D480+'NonPublic Enrollment'!$F480+'NonPublic Enrollment'!$H480+'NonPublic Enrollment'!$J480</f>
        <v>379.96099999999996</v>
      </c>
      <c r="L480" s="37" t="s">
        <v>2586</v>
      </c>
    </row>
    <row r="481" spans="1:12">
      <c r="A481" s="38" t="s">
        <v>2561</v>
      </c>
      <c r="B481" s="38" t="str">
        <f>"059451"</f>
        <v>059451</v>
      </c>
      <c r="C481" s="38" t="s">
        <v>2721</v>
      </c>
      <c r="D481" s="45">
        <v>305</v>
      </c>
      <c r="E481" s="45">
        <v>11</v>
      </c>
      <c r="F481" s="45">
        <f>'NonPublic Enrollment'!$E481*0.1</f>
        <v>1.1000000000000001</v>
      </c>
      <c r="G481" s="45">
        <v>15</v>
      </c>
      <c r="H481" s="45">
        <f>'NonPublic Enrollment'!$G481*0.7374</f>
        <v>11.061</v>
      </c>
      <c r="I481" s="45">
        <v>0</v>
      </c>
      <c r="J481" s="45">
        <f>'NonPublic Enrollment'!$I481*0.2906</f>
        <v>0</v>
      </c>
      <c r="K481" s="45">
        <f>'NonPublic Enrollment'!$D481+'NonPublic Enrollment'!$F481+'NonPublic Enrollment'!$H481+'NonPublic Enrollment'!$J481</f>
        <v>317.161</v>
      </c>
      <c r="L481" s="39" t="s">
        <v>2562</v>
      </c>
    </row>
    <row r="482" spans="1:12">
      <c r="A482" s="36" t="s">
        <v>2561</v>
      </c>
      <c r="B482" s="36" t="str">
        <f>"015179"</f>
        <v>015179</v>
      </c>
      <c r="C482" s="36" t="s">
        <v>2814</v>
      </c>
      <c r="D482" s="44">
        <v>25</v>
      </c>
      <c r="E482" s="44">
        <v>13</v>
      </c>
      <c r="F482" s="44">
        <f>'NonPublic Enrollment'!$E482*0.1</f>
        <v>1.3</v>
      </c>
      <c r="G482" s="44">
        <v>15</v>
      </c>
      <c r="H482" s="44">
        <f>'NonPublic Enrollment'!$G482*0.7374</f>
        <v>11.061</v>
      </c>
      <c r="I482" s="44">
        <v>0</v>
      </c>
      <c r="J482" s="44">
        <f>'NonPublic Enrollment'!$I482*0.2906</f>
        <v>0</v>
      </c>
      <c r="K482" s="44">
        <f>'NonPublic Enrollment'!$D482+'NonPublic Enrollment'!$F482+'NonPublic Enrollment'!$H482+'NonPublic Enrollment'!$J482</f>
        <v>37.361000000000004</v>
      </c>
      <c r="L482" s="37" t="s">
        <v>2562</v>
      </c>
    </row>
    <row r="483" spans="1:12">
      <c r="A483" s="38" t="s">
        <v>2561</v>
      </c>
      <c r="B483" s="38" t="str">
        <f>"056812"</f>
        <v>056812</v>
      </c>
      <c r="C483" s="38" t="s">
        <v>2813</v>
      </c>
      <c r="D483" s="45">
        <v>184</v>
      </c>
      <c r="E483" s="45">
        <v>15</v>
      </c>
      <c r="F483" s="45">
        <f>'NonPublic Enrollment'!$E483*0.1</f>
        <v>1.5</v>
      </c>
      <c r="G483" s="45">
        <v>15</v>
      </c>
      <c r="H483" s="45">
        <f>'NonPublic Enrollment'!$G483*0.7374</f>
        <v>11.061</v>
      </c>
      <c r="I483" s="45">
        <v>0</v>
      </c>
      <c r="J483" s="45">
        <f>'NonPublic Enrollment'!$I483*0.2906</f>
        <v>0</v>
      </c>
      <c r="K483" s="45">
        <f>'NonPublic Enrollment'!$D483+'NonPublic Enrollment'!$F483+'NonPublic Enrollment'!$H483+'NonPublic Enrollment'!$J483</f>
        <v>196.56100000000001</v>
      </c>
      <c r="L483" s="39" t="s">
        <v>2569</v>
      </c>
    </row>
    <row r="484" spans="1:12">
      <c r="A484" s="36" t="s">
        <v>2561</v>
      </c>
      <c r="B484" s="36" t="str">
        <f>"057885"</f>
        <v>057885</v>
      </c>
      <c r="C484" s="36" t="s">
        <v>2812</v>
      </c>
      <c r="D484" s="44">
        <v>255</v>
      </c>
      <c r="E484" s="44">
        <v>17</v>
      </c>
      <c r="F484" s="44">
        <f>'NonPublic Enrollment'!$E484*0.1</f>
        <v>1.7000000000000002</v>
      </c>
      <c r="G484" s="44">
        <v>15</v>
      </c>
      <c r="H484" s="44">
        <f>'NonPublic Enrollment'!$G484*0.7374</f>
        <v>11.061</v>
      </c>
      <c r="I484" s="44">
        <v>0</v>
      </c>
      <c r="J484" s="44">
        <f>'NonPublic Enrollment'!$I484*0.2906</f>
        <v>0</v>
      </c>
      <c r="K484" s="44">
        <f>'NonPublic Enrollment'!$D484+'NonPublic Enrollment'!$F484+'NonPublic Enrollment'!$H484+'NonPublic Enrollment'!$J484</f>
        <v>267.76099999999997</v>
      </c>
      <c r="L484" s="37" t="s">
        <v>2591</v>
      </c>
    </row>
    <row r="485" spans="1:12">
      <c r="A485" s="38" t="s">
        <v>2561</v>
      </c>
      <c r="B485" s="38" t="str">
        <f>"057869"</f>
        <v>057869</v>
      </c>
      <c r="C485" s="38" t="s">
        <v>2811</v>
      </c>
      <c r="D485" s="45">
        <v>155</v>
      </c>
      <c r="E485" s="45">
        <v>37</v>
      </c>
      <c r="F485" s="45">
        <f>'NonPublic Enrollment'!$E485*0.1</f>
        <v>3.7</v>
      </c>
      <c r="G485" s="45">
        <v>15</v>
      </c>
      <c r="H485" s="45">
        <f>'NonPublic Enrollment'!$G485*0.7374</f>
        <v>11.061</v>
      </c>
      <c r="I485" s="45">
        <v>0</v>
      </c>
      <c r="J485" s="45">
        <f>'NonPublic Enrollment'!$I485*0.2906</f>
        <v>0</v>
      </c>
      <c r="K485" s="45">
        <f>'NonPublic Enrollment'!$D485+'NonPublic Enrollment'!$F485+'NonPublic Enrollment'!$H485+'NonPublic Enrollment'!$J485</f>
        <v>169.761</v>
      </c>
      <c r="L485" s="39" t="s">
        <v>2591</v>
      </c>
    </row>
    <row r="486" spans="1:12">
      <c r="A486" s="36" t="s">
        <v>2561</v>
      </c>
      <c r="B486" s="36" t="str">
        <f>"054718"</f>
        <v>054718</v>
      </c>
      <c r="C486" s="36" t="s">
        <v>2810</v>
      </c>
      <c r="D486" s="44">
        <v>154</v>
      </c>
      <c r="E486" s="44">
        <v>46</v>
      </c>
      <c r="F486" s="44">
        <f>'NonPublic Enrollment'!$E486*0.1</f>
        <v>4.6000000000000005</v>
      </c>
      <c r="G486" s="44">
        <v>15</v>
      </c>
      <c r="H486" s="44">
        <f>'NonPublic Enrollment'!$G486*0.7374</f>
        <v>11.061</v>
      </c>
      <c r="I486" s="44">
        <v>0</v>
      </c>
      <c r="J486" s="44">
        <f>'NonPublic Enrollment'!$I486*0.2906</f>
        <v>0</v>
      </c>
      <c r="K486" s="44">
        <f>'NonPublic Enrollment'!$D486+'NonPublic Enrollment'!$F486+'NonPublic Enrollment'!$H486+'NonPublic Enrollment'!$J486</f>
        <v>169.661</v>
      </c>
      <c r="L486" s="37" t="s">
        <v>2591</v>
      </c>
    </row>
    <row r="487" spans="1:12">
      <c r="A487" s="38" t="s">
        <v>2561</v>
      </c>
      <c r="B487" s="38" t="str">
        <f>"067546"</f>
        <v>067546</v>
      </c>
      <c r="C487" s="38" t="s">
        <v>2809</v>
      </c>
      <c r="D487" s="45">
        <v>373</v>
      </c>
      <c r="E487" s="45">
        <v>57</v>
      </c>
      <c r="F487" s="45">
        <f>'NonPublic Enrollment'!$E487*0.1</f>
        <v>5.7</v>
      </c>
      <c r="G487" s="45">
        <v>15</v>
      </c>
      <c r="H487" s="45">
        <f>'NonPublic Enrollment'!$G487*0.7374</f>
        <v>11.061</v>
      </c>
      <c r="I487" s="45">
        <v>0</v>
      </c>
      <c r="J487" s="45">
        <f>'NonPublic Enrollment'!$I487*0.2906</f>
        <v>0</v>
      </c>
      <c r="K487" s="45">
        <f>'NonPublic Enrollment'!$D487+'NonPublic Enrollment'!$F487+'NonPublic Enrollment'!$H487+'NonPublic Enrollment'!$J487</f>
        <v>389.76099999999997</v>
      </c>
      <c r="L487" s="39" t="s">
        <v>2562</v>
      </c>
    </row>
    <row r="488" spans="1:12">
      <c r="A488" s="36" t="s">
        <v>2561</v>
      </c>
      <c r="B488" s="36" t="str">
        <f>"052860"</f>
        <v>052860</v>
      </c>
      <c r="C488" s="36" t="s">
        <v>2808</v>
      </c>
      <c r="D488" s="44">
        <v>271</v>
      </c>
      <c r="E488" s="44">
        <v>0</v>
      </c>
      <c r="F488" s="44">
        <f>'NonPublic Enrollment'!$E488*0.1</f>
        <v>0</v>
      </c>
      <c r="G488" s="44">
        <v>15</v>
      </c>
      <c r="H488" s="44">
        <f>'NonPublic Enrollment'!$G488*0.7374</f>
        <v>11.061</v>
      </c>
      <c r="I488" s="44">
        <v>0</v>
      </c>
      <c r="J488" s="44">
        <f>'NonPublic Enrollment'!$I488*0.2906</f>
        <v>0</v>
      </c>
      <c r="K488" s="44">
        <f>'NonPublic Enrollment'!$D488+'NonPublic Enrollment'!$F488+'NonPublic Enrollment'!$H488+'NonPublic Enrollment'!$J488</f>
        <v>282.06099999999998</v>
      </c>
      <c r="L488" s="37" t="s">
        <v>2562</v>
      </c>
    </row>
    <row r="489" spans="1:12">
      <c r="A489" s="38" t="s">
        <v>2561</v>
      </c>
      <c r="B489" s="38" t="str">
        <f>"053371"</f>
        <v>053371</v>
      </c>
      <c r="C489" s="38" t="s">
        <v>2807</v>
      </c>
      <c r="D489" s="45">
        <v>727</v>
      </c>
      <c r="E489" s="45">
        <v>0</v>
      </c>
      <c r="F489" s="45">
        <f>'NonPublic Enrollment'!$E489*0.1</f>
        <v>0</v>
      </c>
      <c r="G489" s="45">
        <v>15</v>
      </c>
      <c r="H489" s="45">
        <f>'NonPublic Enrollment'!$G489*0.7374</f>
        <v>11.061</v>
      </c>
      <c r="I489" s="45">
        <v>0</v>
      </c>
      <c r="J489" s="45">
        <f>'NonPublic Enrollment'!$I489*0.2906</f>
        <v>0</v>
      </c>
      <c r="K489" s="45">
        <f>'NonPublic Enrollment'!$D489+'NonPublic Enrollment'!$F489+'NonPublic Enrollment'!$H489+'NonPublic Enrollment'!$J489</f>
        <v>738.06100000000004</v>
      </c>
      <c r="L489" s="39" t="s">
        <v>2586</v>
      </c>
    </row>
    <row r="490" spans="1:12">
      <c r="A490" s="36" t="s">
        <v>2561</v>
      </c>
      <c r="B490" s="36" t="str">
        <f>"053389"</f>
        <v>053389</v>
      </c>
      <c r="C490" s="36" t="s">
        <v>2806</v>
      </c>
      <c r="D490" s="44">
        <v>593</v>
      </c>
      <c r="E490" s="44">
        <v>0</v>
      </c>
      <c r="F490" s="44">
        <f>'NonPublic Enrollment'!$E490*0.1</f>
        <v>0</v>
      </c>
      <c r="G490" s="44">
        <v>15</v>
      </c>
      <c r="H490" s="44">
        <f>'NonPublic Enrollment'!$G490*0.7374</f>
        <v>11.061</v>
      </c>
      <c r="I490" s="44">
        <v>0</v>
      </c>
      <c r="J490" s="44">
        <f>'NonPublic Enrollment'!$I490*0.2906</f>
        <v>0</v>
      </c>
      <c r="K490" s="44">
        <f>'NonPublic Enrollment'!$D490+'NonPublic Enrollment'!$F490+'NonPublic Enrollment'!$H490+'NonPublic Enrollment'!$J490</f>
        <v>604.06100000000004</v>
      </c>
      <c r="L490" s="37" t="s">
        <v>2562</v>
      </c>
    </row>
    <row r="491" spans="1:12">
      <c r="A491" s="38" t="s">
        <v>2561</v>
      </c>
      <c r="B491" s="38" t="str">
        <f>"060541"</f>
        <v>060541</v>
      </c>
      <c r="C491" s="38" t="s">
        <v>2693</v>
      </c>
      <c r="D491" s="45">
        <v>168</v>
      </c>
      <c r="E491" s="45">
        <v>0</v>
      </c>
      <c r="F491" s="45">
        <f>'NonPublic Enrollment'!$E491*0.1</f>
        <v>0</v>
      </c>
      <c r="G491" s="45">
        <v>15</v>
      </c>
      <c r="H491" s="45">
        <f>'NonPublic Enrollment'!$G491*0.7374</f>
        <v>11.061</v>
      </c>
      <c r="I491" s="45">
        <v>0</v>
      </c>
      <c r="J491" s="45">
        <f>'NonPublic Enrollment'!$I491*0.2906</f>
        <v>0</v>
      </c>
      <c r="K491" s="45">
        <f>'NonPublic Enrollment'!$D491+'NonPublic Enrollment'!$F491+'NonPublic Enrollment'!$H491+'NonPublic Enrollment'!$J491</f>
        <v>179.06100000000001</v>
      </c>
      <c r="L491" s="39" t="s">
        <v>2591</v>
      </c>
    </row>
    <row r="492" spans="1:12">
      <c r="A492" s="36" t="s">
        <v>2561</v>
      </c>
      <c r="B492" s="36" t="str">
        <f>"090290"</f>
        <v>090290</v>
      </c>
      <c r="C492" s="36" t="s">
        <v>2805</v>
      </c>
      <c r="D492" s="44">
        <v>272</v>
      </c>
      <c r="E492" s="44">
        <v>0</v>
      </c>
      <c r="F492" s="44">
        <f>'NonPublic Enrollment'!$E492*0.1</f>
        <v>0</v>
      </c>
      <c r="G492" s="44">
        <v>15</v>
      </c>
      <c r="H492" s="44">
        <f>'NonPublic Enrollment'!$G492*0.7374</f>
        <v>11.061</v>
      </c>
      <c r="I492" s="44">
        <v>0</v>
      </c>
      <c r="J492" s="44">
        <f>'NonPublic Enrollment'!$I492*0.2906</f>
        <v>0</v>
      </c>
      <c r="K492" s="44">
        <f>'NonPublic Enrollment'!$D492+'NonPublic Enrollment'!$F492+'NonPublic Enrollment'!$H492+'NonPublic Enrollment'!$J492</f>
        <v>283.06099999999998</v>
      </c>
      <c r="L492" s="37" t="s">
        <v>2569</v>
      </c>
    </row>
    <row r="493" spans="1:12">
      <c r="A493" s="38" t="s">
        <v>2561</v>
      </c>
      <c r="B493" s="38" t="str">
        <f>"095166"</f>
        <v>095166</v>
      </c>
      <c r="C493" s="38" t="s">
        <v>2804</v>
      </c>
      <c r="D493" s="45">
        <v>147</v>
      </c>
      <c r="E493" s="45">
        <v>0</v>
      </c>
      <c r="F493" s="45">
        <f>'NonPublic Enrollment'!$E493*0.1</f>
        <v>0</v>
      </c>
      <c r="G493" s="45">
        <v>15</v>
      </c>
      <c r="H493" s="45">
        <f>'NonPublic Enrollment'!$G493*0.7374</f>
        <v>11.061</v>
      </c>
      <c r="I493" s="45">
        <v>0</v>
      </c>
      <c r="J493" s="45">
        <f>'NonPublic Enrollment'!$I493*0.2906</f>
        <v>0</v>
      </c>
      <c r="K493" s="45">
        <f>'NonPublic Enrollment'!$D493+'NonPublic Enrollment'!$F493+'NonPublic Enrollment'!$H493+'NonPublic Enrollment'!$J493</f>
        <v>158.06100000000001</v>
      </c>
      <c r="L493" s="39" t="s">
        <v>2569</v>
      </c>
    </row>
    <row r="494" spans="1:12">
      <c r="A494" s="36" t="s">
        <v>2561</v>
      </c>
      <c r="B494" s="36" t="str">
        <f>"113522"</f>
        <v>113522</v>
      </c>
      <c r="C494" s="36" t="s">
        <v>2803</v>
      </c>
      <c r="D494" s="44">
        <v>151</v>
      </c>
      <c r="E494" s="44">
        <v>0</v>
      </c>
      <c r="F494" s="44">
        <f>'NonPublic Enrollment'!$E494*0.1</f>
        <v>0</v>
      </c>
      <c r="G494" s="44">
        <v>15</v>
      </c>
      <c r="H494" s="44">
        <f>'NonPublic Enrollment'!$G494*0.7374</f>
        <v>11.061</v>
      </c>
      <c r="I494" s="44">
        <v>0</v>
      </c>
      <c r="J494" s="44">
        <f>'NonPublic Enrollment'!$I494*0.2906</f>
        <v>0</v>
      </c>
      <c r="K494" s="44">
        <f>'NonPublic Enrollment'!$D494+'NonPublic Enrollment'!$F494+'NonPublic Enrollment'!$H494+'NonPublic Enrollment'!$J494</f>
        <v>162.06100000000001</v>
      </c>
      <c r="L494" s="37" t="s">
        <v>2562</v>
      </c>
    </row>
    <row r="495" spans="1:12">
      <c r="A495" s="38" t="s">
        <v>2561</v>
      </c>
      <c r="B495" s="38" t="str">
        <f>"125310"</f>
        <v>125310</v>
      </c>
      <c r="C495" s="38" t="s">
        <v>2802</v>
      </c>
      <c r="D495" s="45">
        <v>343</v>
      </c>
      <c r="E495" s="45">
        <v>0</v>
      </c>
      <c r="F495" s="45">
        <f>'NonPublic Enrollment'!$E495*0.1</f>
        <v>0</v>
      </c>
      <c r="G495" s="45">
        <v>15</v>
      </c>
      <c r="H495" s="45">
        <f>'NonPublic Enrollment'!$G495*0.7374</f>
        <v>11.061</v>
      </c>
      <c r="I495" s="45">
        <v>0</v>
      </c>
      <c r="J495" s="45">
        <f>'NonPublic Enrollment'!$I495*0.2906</f>
        <v>0</v>
      </c>
      <c r="K495" s="45">
        <f>'NonPublic Enrollment'!$D495+'NonPublic Enrollment'!$F495+'NonPublic Enrollment'!$H495+'NonPublic Enrollment'!$J495</f>
        <v>354.06099999999998</v>
      </c>
      <c r="L495" s="39" t="s">
        <v>2562</v>
      </c>
    </row>
    <row r="496" spans="1:12">
      <c r="A496" s="36" t="s">
        <v>2561</v>
      </c>
      <c r="B496" s="36" t="str">
        <f>"053496"</f>
        <v>053496</v>
      </c>
      <c r="C496" s="36" t="s">
        <v>2801</v>
      </c>
      <c r="D496" s="44">
        <v>25</v>
      </c>
      <c r="E496" s="44">
        <v>12</v>
      </c>
      <c r="F496" s="44">
        <f>'NonPublic Enrollment'!$E496*0.1</f>
        <v>1.2000000000000002</v>
      </c>
      <c r="G496" s="44">
        <v>14</v>
      </c>
      <c r="H496" s="44">
        <f>'NonPublic Enrollment'!$G496*0.7374</f>
        <v>10.323600000000001</v>
      </c>
      <c r="I496" s="44">
        <v>0</v>
      </c>
      <c r="J496" s="44">
        <f>'NonPublic Enrollment'!$I496*0.2906</f>
        <v>0</v>
      </c>
      <c r="K496" s="44">
        <f>'NonPublic Enrollment'!$D496+'NonPublic Enrollment'!$F496+'NonPublic Enrollment'!$H496+'NonPublic Enrollment'!$J496</f>
        <v>36.523600000000002</v>
      </c>
      <c r="L496" s="37" t="s">
        <v>2562</v>
      </c>
    </row>
    <row r="497" spans="1:12">
      <c r="A497" s="38" t="s">
        <v>2561</v>
      </c>
      <c r="B497" s="38" t="str">
        <f>"055244"</f>
        <v>055244</v>
      </c>
      <c r="C497" s="38" t="s">
        <v>2674</v>
      </c>
      <c r="D497" s="45">
        <v>123</v>
      </c>
      <c r="E497" s="45">
        <v>26</v>
      </c>
      <c r="F497" s="45">
        <f>'NonPublic Enrollment'!$E497*0.1</f>
        <v>2.6</v>
      </c>
      <c r="G497" s="45">
        <v>14</v>
      </c>
      <c r="H497" s="45">
        <f>'NonPublic Enrollment'!$G497*0.7374</f>
        <v>10.323600000000001</v>
      </c>
      <c r="I497" s="45">
        <v>0</v>
      </c>
      <c r="J497" s="45">
        <f>'NonPublic Enrollment'!$I497*0.2906</f>
        <v>0</v>
      </c>
      <c r="K497" s="45">
        <f>'NonPublic Enrollment'!$D497+'NonPublic Enrollment'!$F497+'NonPublic Enrollment'!$H497+'NonPublic Enrollment'!$J497</f>
        <v>135.92359999999999</v>
      </c>
      <c r="L497" s="39" t="s">
        <v>2591</v>
      </c>
    </row>
    <row r="498" spans="1:12">
      <c r="A498" s="36" t="s">
        <v>2561</v>
      </c>
      <c r="B498" s="36" t="str">
        <f>"059014"</f>
        <v>059014</v>
      </c>
      <c r="C498" s="36" t="s">
        <v>2800</v>
      </c>
      <c r="D498" s="44">
        <v>73</v>
      </c>
      <c r="E498" s="44">
        <v>29</v>
      </c>
      <c r="F498" s="44">
        <f>'NonPublic Enrollment'!$E498*0.1</f>
        <v>2.9000000000000004</v>
      </c>
      <c r="G498" s="44">
        <v>14</v>
      </c>
      <c r="H498" s="44">
        <f>'NonPublic Enrollment'!$G498*0.7374</f>
        <v>10.323600000000001</v>
      </c>
      <c r="I498" s="44">
        <v>0</v>
      </c>
      <c r="J498" s="44">
        <f>'NonPublic Enrollment'!$I498*0.2906</f>
        <v>0</v>
      </c>
      <c r="K498" s="44">
        <f>'NonPublic Enrollment'!$D498+'NonPublic Enrollment'!$F498+'NonPublic Enrollment'!$H498+'NonPublic Enrollment'!$J498</f>
        <v>86.223600000000005</v>
      </c>
      <c r="L498" s="37" t="s">
        <v>2562</v>
      </c>
    </row>
    <row r="499" spans="1:12">
      <c r="A499" s="38" t="s">
        <v>2561</v>
      </c>
      <c r="B499" s="38" t="str">
        <f>"057109"</f>
        <v>057109</v>
      </c>
      <c r="C499" s="38" t="s">
        <v>2799</v>
      </c>
      <c r="D499" s="45">
        <v>178</v>
      </c>
      <c r="E499" s="45">
        <v>30</v>
      </c>
      <c r="F499" s="45">
        <f>'NonPublic Enrollment'!$E499*0.1</f>
        <v>3</v>
      </c>
      <c r="G499" s="45">
        <v>14</v>
      </c>
      <c r="H499" s="45">
        <f>'NonPublic Enrollment'!$G499*0.7374</f>
        <v>10.323600000000001</v>
      </c>
      <c r="I499" s="45">
        <v>0</v>
      </c>
      <c r="J499" s="45">
        <f>'NonPublic Enrollment'!$I499*0.2906</f>
        <v>0</v>
      </c>
      <c r="K499" s="45">
        <f>'NonPublic Enrollment'!$D499+'NonPublic Enrollment'!$F499+'NonPublic Enrollment'!$H499+'NonPublic Enrollment'!$J499</f>
        <v>191.3236</v>
      </c>
      <c r="L499" s="39" t="s">
        <v>2586</v>
      </c>
    </row>
    <row r="500" spans="1:12">
      <c r="A500" s="36" t="s">
        <v>2561</v>
      </c>
      <c r="B500" s="36" t="str">
        <f>"055400"</f>
        <v>055400</v>
      </c>
      <c r="C500" s="36" t="s">
        <v>2798</v>
      </c>
      <c r="D500" s="44">
        <v>94</v>
      </c>
      <c r="E500" s="44">
        <v>34</v>
      </c>
      <c r="F500" s="44">
        <f>'NonPublic Enrollment'!$E500*0.1</f>
        <v>3.4000000000000004</v>
      </c>
      <c r="G500" s="44">
        <v>14</v>
      </c>
      <c r="H500" s="44">
        <f>'NonPublic Enrollment'!$G500*0.7374</f>
        <v>10.323600000000001</v>
      </c>
      <c r="I500" s="44">
        <v>0</v>
      </c>
      <c r="J500" s="44">
        <f>'NonPublic Enrollment'!$I500*0.2906</f>
        <v>0</v>
      </c>
      <c r="K500" s="44">
        <f>'NonPublic Enrollment'!$D500+'NonPublic Enrollment'!$F500+'NonPublic Enrollment'!$H500+'NonPublic Enrollment'!$J500</f>
        <v>107.7236</v>
      </c>
      <c r="L500" s="37" t="s">
        <v>2591</v>
      </c>
    </row>
    <row r="501" spans="1:12">
      <c r="A501" s="38" t="s">
        <v>2561</v>
      </c>
      <c r="B501" s="38" t="str">
        <f>"054932"</f>
        <v>054932</v>
      </c>
      <c r="C501" s="38" t="s">
        <v>2797</v>
      </c>
      <c r="D501" s="45">
        <v>250</v>
      </c>
      <c r="E501" s="45">
        <v>35</v>
      </c>
      <c r="F501" s="45">
        <f>'NonPublic Enrollment'!$E501*0.1</f>
        <v>3.5</v>
      </c>
      <c r="G501" s="45">
        <v>14</v>
      </c>
      <c r="H501" s="45">
        <f>'NonPublic Enrollment'!$G501*0.7374</f>
        <v>10.323600000000001</v>
      </c>
      <c r="I501" s="45">
        <v>0</v>
      </c>
      <c r="J501" s="45">
        <f>'NonPublic Enrollment'!$I501*0.2906</f>
        <v>0</v>
      </c>
      <c r="K501" s="45">
        <f>'NonPublic Enrollment'!$D501+'NonPublic Enrollment'!$F501+'NonPublic Enrollment'!$H501+'NonPublic Enrollment'!$J501</f>
        <v>263.8236</v>
      </c>
      <c r="L501" s="39" t="s">
        <v>2591</v>
      </c>
    </row>
    <row r="502" spans="1:12">
      <c r="A502" s="36" t="s">
        <v>2561</v>
      </c>
      <c r="B502" s="36" t="str">
        <f>"060095"</f>
        <v>060095</v>
      </c>
      <c r="C502" s="36" t="s">
        <v>2796</v>
      </c>
      <c r="D502" s="44">
        <v>61</v>
      </c>
      <c r="E502" s="44">
        <v>35</v>
      </c>
      <c r="F502" s="44">
        <f>'NonPublic Enrollment'!$E502*0.1</f>
        <v>3.5</v>
      </c>
      <c r="G502" s="44">
        <v>14</v>
      </c>
      <c r="H502" s="44">
        <f>'NonPublic Enrollment'!$G502*0.7374</f>
        <v>10.323600000000001</v>
      </c>
      <c r="I502" s="44">
        <v>0</v>
      </c>
      <c r="J502" s="44">
        <f>'NonPublic Enrollment'!$I502*0.2906</f>
        <v>0</v>
      </c>
      <c r="K502" s="44">
        <f>'NonPublic Enrollment'!$D502+'NonPublic Enrollment'!$F502+'NonPublic Enrollment'!$H502+'NonPublic Enrollment'!$J502</f>
        <v>74.823599999999999</v>
      </c>
      <c r="L502" s="37" t="s">
        <v>2562</v>
      </c>
    </row>
    <row r="503" spans="1:12">
      <c r="A503" s="38" t="s">
        <v>2561</v>
      </c>
      <c r="B503" s="38" t="str">
        <f>"060301"</f>
        <v>060301</v>
      </c>
      <c r="C503" s="38" t="s">
        <v>2795</v>
      </c>
      <c r="D503" s="45">
        <v>205</v>
      </c>
      <c r="E503" s="45">
        <v>42</v>
      </c>
      <c r="F503" s="45">
        <f>'NonPublic Enrollment'!$E503*0.1</f>
        <v>4.2</v>
      </c>
      <c r="G503" s="45">
        <v>14</v>
      </c>
      <c r="H503" s="45">
        <f>'NonPublic Enrollment'!$G503*0.7374</f>
        <v>10.323600000000001</v>
      </c>
      <c r="I503" s="45">
        <v>0</v>
      </c>
      <c r="J503" s="45">
        <f>'NonPublic Enrollment'!$I503*0.2906</f>
        <v>0</v>
      </c>
      <c r="K503" s="45">
        <f>'NonPublic Enrollment'!$D503+'NonPublic Enrollment'!$F503+'NonPublic Enrollment'!$H503+'NonPublic Enrollment'!$J503</f>
        <v>219.52359999999999</v>
      </c>
      <c r="L503" s="39" t="s">
        <v>2562</v>
      </c>
    </row>
    <row r="504" spans="1:12">
      <c r="A504" s="36" t="s">
        <v>2561</v>
      </c>
      <c r="B504" s="36" t="str">
        <f>"057539"</f>
        <v>057539</v>
      </c>
      <c r="C504" s="36" t="s">
        <v>2794</v>
      </c>
      <c r="D504" s="44">
        <v>354</v>
      </c>
      <c r="E504" s="44">
        <v>47</v>
      </c>
      <c r="F504" s="44">
        <f>'NonPublic Enrollment'!$E504*0.1</f>
        <v>4.7</v>
      </c>
      <c r="G504" s="44">
        <v>14</v>
      </c>
      <c r="H504" s="44">
        <f>'NonPublic Enrollment'!$G504*0.7374</f>
        <v>10.323600000000001</v>
      </c>
      <c r="I504" s="44">
        <v>0</v>
      </c>
      <c r="J504" s="44">
        <f>'NonPublic Enrollment'!$I504*0.2906</f>
        <v>0</v>
      </c>
      <c r="K504" s="44">
        <f>'NonPublic Enrollment'!$D504+'NonPublic Enrollment'!$F504+'NonPublic Enrollment'!$H504+'NonPublic Enrollment'!$J504</f>
        <v>369.02359999999999</v>
      </c>
      <c r="L504" s="37" t="s">
        <v>2586</v>
      </c>
    </row>
    <row r="505" spans="1:12">
      <c r="A505" s="38" t="s">
        <v>2561</v>
      </c>
      <c r="B505" s="38" t="str">
        <f>"055129"</f>
        <v>055129</v>
      </c>
      <c r="C505" s="38" t="s">
        <v>2793</v>
      </c>
      <c r="D505" s="45">
        <v>371</v>
      </c>
      <c r="E505" s="45">
        <v>57</v>
      </c>
      <c r="F505" s="45">
        <f>'NonPublic Enrollment'!$E505*0.1</f>
        <v>5.7</v>
      </c>
      <c r="G505" s="45">
        <v>14</v>
      </c>
      <c r="H505" s="45">
        <f>'NonPublic Enrollment'!$G505*0.7374</f>
        <v>10.323600000000001</v>
      </c>
      <c r="I505" s="45">
        <v>0</v>
      </c>
      <c r="J505" s="45">
        <f>'NonPublic Enrollment'!$I505*0.2906</f>
        <v>0</v>
      </c>
      <c r="K505" s="45">
        <f>'NonPublic Enrollment'!$D505+'NonPublic Enrollment'!$F505+'NonPublic Enrollment'!$H505+'NonPublic Enrollment'!$J505</f>
        <v>387.02359999999999</v>
      </c>
      <c r="L505" s="39" t="s">
        <v>2591</v>
      </c>
    </row>
    <row r="506" spans="1:12">
      <c r="A506" s="36" t="s">
        <v>2561</v>
      </c>
      <c r="B506" s="36" t="str">
        <f>"058495"</f>
        <v>058495</v>
      </c>
      <c r="C506" s="36" t="s">
        <v>2792</v>
      </c>
      <c r="D506" s="44">
        <v>366</v>
      </c>
      <c r="E506" s="44">
        <v>65</v>
      </c>
      <c r="F506" s="44">
        <f>'NonPublic Enrollment'!$E506*0.1</f>
        <v>6.5</v>
      </c>
      <c r="G506" s="44">
        <v>14</v>
      </c>
      <c r="H506" s="44">
        <f>'NonPublic Enrollment'!$G506*0.7374</f>
        <v>10.323600000000001</v>
      </c>
      <c r="I506" s="44">
        <v>0</v>
      </c>
      <c r="J506" s="44">
        <f>'NonPublic Enrollment'!$I506*0.2906</f>
        <v>0</v>
      </c>
      <c r="K506" s="44">
        <f>'NonPublic Enrollment'!$D506+'NonPublic Enrollment'!$F506+'NonPublic Enrollment'!$H506+'NonPublic Enrollment'!$J506</f>
        <v>382.8236</v>
      </c>
      <c r="L506" s="37" t="s">
        <v>2580</v>
      </c>
    </row>
    <row r="507" spans="1:12">
      <c r="A507" s="38" t="s">
        <v>2561</v>
      </c>
      <c r="B507" s="38" t="str">
        <f>"054288"</f>
        <v>054288</v>
      </c>
      <c r="C507" s="38" t="s">
        <v>2791</v>
      </c>
      <c r="D507" s="45">
        <v>142</v>
      </c>
      <c r="E507" s="45">
        <v>147</v>
      </c>
      <c r="F507" s="45">
        <f>'NonPublic Enrollment'!$E507*0.1</f>
        <v>14.700000000000001</v>
      </c>
      <c r="G507" s="45">
        <v>14</v>
      </c>
      <c r="H507" s="45">
        <f>'NonPublic Enrollment'!$G507*0.7374</f>
        <v>10.323600000000001</v>
      </c>
      <c r="I507" s="45">
        <v>0</v>
      </c>
      <c r="J507" s="45">
        <f>'NonPublic Enrollment'!$I507*0.2906</f>
        <v>0</v>
      </c>
      <c r="K507" s="45">
        <f>'NonPublic Enrollment'!$D507+'NonPublic Enrollment'!$F507+'NonPublic Enrollment'!$H507+'NonPublic Enrollment'!$J507</f>
        <v>167.02359999999999</v>
      </c>
      <c r="L507" s="39" t="s">
        <v>2562</v>
      </c>
    </row>
    <row r="508" spans="1:12">
      <c r="A508" s="36" t="s">
        <v>2561</v>
      </c>
      <c r="B508" s="36" t="str">
        <f>"056010"</f>
        <v>056010</v>
      </c>
      <c r="C508" s="36" t="s">
        <v>2790</v>
      </c>
      <c r="D508" s="44">
        <v>218</v>
      </c>
      <c r="E508" s="44">
        <v>192</v>
      </c>
      <c r="F508" s="44">
        <f>'NonPublic Enrollment'!$E508*0.1</f>
        <v>19.200000000000003</v>
      </c>
      <c r="G508" s="44">
        <v>14</v>
      </c>
      <c r="H508" s="44">
        <f>'NonPublic Enrollment'!$G508*0.7374</f>
        <v>10.323600000000001</v>
      </c>
      <c r="I508" s="44">
        <v>0</v>
      </c>
      <c r="J508" s="44">
        <f>'NonPublic Enrollment'!$I508*0.2906</f>
        <v>0</v>
      </c>
      <c r="K508" s="44">
        <f>'NonPublic Enrollment'!$D508+'NonPublic Enrollment'!$F508+'NonPublic Enrollment'!$H508+'NonPublic Enrollment'!$J508</f>
        <v>247.52359999999999</v>
      </c>
      <c r="L508" s="37" t="s">
        <v>2569</v>
      </c>
    </row>
    <row r="509" spans="1:12">
      <c r="A509" s="38" t="s">
        <v>2561</v>
      </c>
      <c r="B509" s="38" t="str">
        <f>"052670"</f>
        <v>052670</v>
      </c>
      <c r="C509" s="38" t="s">
        <v>2789</v>
      </c>
      <c r="D509" s="45">
        <v>163</v>
      </c>
      <c r="E509" s="45">
        <v>0</v>
      </c>
      <c r="F509" s="45">
        <f>'NonPublic Enrollment'!$E509*0.1</f>
        <v>0</v>
      </c>
      <c r="G509" s="45">
        <v>14</v>
      </c>
      <c r="H509" s="45">
        <f>'NonPublic Enrollment'!$G509*0.7374</f>
        <v>10.323600000000001</v>
      </c>
      <c r="I509" s="45">
        <v>0</v>
      </c>
      <c r="J509" s="45">
        <f>'NonPublic Enrollment'!$I509*0.2906</f>
        <v>0</v>
      </c>
      <c r="K509" s="45">
        <f>'NonPublic Enrollment'!$D509+'NonPublic Enrollment'!$F509+'NonPublic Enrollment'!$H509+'NonPublic Enrollment'!$J509</f>
        <v>173.3236</v>
      </c>
      <c r="L509" s="39" t="s">
        <v>2591</v>
      </c>
    </row>
    <row r="510" spans="1:12">
      <c r="A510" s="36" t="s">
        <v>2561</v>
      </c>
      <c r="B510" s="36" t="str">
        <f>"055020"</f>
        <v>055020</v>
      </c>
      <c r="C510" s="36" t="s">
        <v>2701</v>
      </c>
      <c r="D510" s="44">
        <v>293</v>
      </c>
      <c r="E510" s="44">
        <v>0</v>
      </c>
      <c r="F510" s="44">
        <f>'NonPublic Enrollment'!$E510*0.1</f>
        <v>0</v>
      </c>
      <c r="G510" s="44">
        <v>14</v>
      </c>
      <c r="H510" s="44">
        <f>'NonPublic Enrollment'!$G510*0.7374</f>
        <v>10.323600000000001</v>
      </c>
      <c r="I510" s="44">
        <v>0</v>
      </c>
      <c r="J510" s="44">
        <f>'NonPublic Enrollment'!$I510*0.2906</f>
        <v>0</v>
      </c>
      <c r="K510" s="44">
        <f>'NonPublic Enrollment'!$D510+'NonPublic Enrollment'!$F510+'NonPublic Enrollment'!$H510+'NonPublic Enrollment'!$J510</f>
        <v>303.3236</v>
      </c>
      <c r="L510" s="37" t="s">
        <v>2562</v>
      </c>
    </row>
    <row r="511" spans="1:12">
      <c r="A511" s="38" t="s">
        <v>2561</v>
      </c>
      <c r="B511" s="38" t="str">
        <f>"060806"</f>
        <v>060806</v>
      </c>
      <c r="C511" s="38" t="s">
        <v>2788</v>
      </c>
      <c r="D511" s="45">
        <v>520</v>
      </c>
      <c r="E511" s="45">
        <v>0</v>
      </c>
      <c r="F511" s="45">
        <f>'NonPublic Enrollment'!$E511*0.1</f>
        <v>0</v>
      </c>
      <c r="G511" s="45">
        <v>14</v>
      </c>
      <c r="H511" s="45">
        <f>'NonPublic Enrollment'!$G511*0.7374</f>
        <v>10.323600000000001</v>
      </c>
      <c r="I511" s="45">
        <v>0</v>
      </c>
      <c r="J511" s="45">
        <f>'NonPublic Enrollment'!$I511*0.2906</f>
        <v>0</v>
      </c>
      <c r="K511" s="45">
        <f>'NonPublic Enrollment'!$D511+'NonPublic Enrollment'!$F511+'NonPublic Enrollment'!$H511+'NonPublic Enrollment'!$J511</f>
        <v>530.32360000000006</v>
      </c>
      <c r="L511" s="39" t="s">
        <v>2562</v>
      </c>
    </row>
    <row r="512" spans="1:12">
      <c r="A512" s="36" t="s">
        <v>2561</v>
      </c>
      <c r="B512" s="36" t="str">
        <f>"086033"</f>
        <v>086033</v>
      </c>
      <c r="C512" s="36" t="s">
        <v>2787</v>
      </c>
      <c r="D512" s="44">
        <v>129</v>
      </c>
      <c r="E512" s="44">
        <v>0</v>
      </c>
      <c r="F512" s="44">
        <f>'NonPublic Enrollment'!$E512*0.1</f>
        <v>0</v>
      </c>
      <c r="G512" s="44">
        <v>14</v>
      </c>
      <c r="H512" s="44">
        <f>'NonPublic Enrollment'!$G512*0.7374</f>
        <v>10.323600000000001</v>
      </c>
      <c r="I512" s="44">
        <v>0</v>
      </c>
      <c r="J512" s="44">
        <f>'NonPublic Enrollment'!$I512*0.2906</f>
        <v>0</v>
      </c>
      <c r="K512" s="44">
        <f>'NonPublic Enrollment'!$D512+'NonPublic Enrollment'!$F512+'NonPublic Enrollment'!$H512+'NonPublic Enrollment'!$J512</f>
        <v>139.3236</v>
      </c>
      <c r="L512" s="37" t="s">
        <v>2580</v>
      </c>
    </row>
    <row r="513" spans="1:12">
      <c r="A513" s="38" t="s">
        <v>2561</v>
      </c>
      <c r="B513" s="38" t="str">
        <f>"090233"</f>
        <v>090233</v>
      </c>
      <c r="C513" s="38" t="s">
        <v>2786</v>
      </c>
      <c r="D513" s="45">
        <v>288</v>
      </c>
      <c r="E513" s="45">
        <v>0</v>
      </c>
      <c r="F513" s="45">
        <f>'NonPublic Enrollment'!$E513*0.1</f>
        <v>0</v>
      </c>
      <c r="G513" s="45">
        <v>14</v>
      </c>
      <c r="H513" s="45">
        <f>'NonPublic Enrollment'!$G513*0.7374</f>
        <v>10.323600000000001</v>
      </c>
      <c r="I513" s="45">
        <v>0</v>
      </c>
      <c r="J513" s="45">
        <f>'NonPublic Enrollment'!$I513*0.2906</f>
        <v>0</v>
      </c>
      <c r="K513" s="45">
        <f>'NonPublic Enrollment'!$D513+'NonPublic Enrollment'!$F513+'NonPublic Enrollment'!$H513+'NonPublic Enrollment'!$J513</f>
        <v>298.3236</v>
      </c>
      <c r="L513" s="39" t="s">
        <v>2562</v>
      </c>
    </row>
    <row r="514" spans="1:12">
      <c r="A514" s="36" t="s">
        <v>2561</v>
      </c>
      <c r="B514" s="36" t="str">
        <f>"126144"</f>
        <v>126144</v>
      </c>
      <c r="C514" s="36" t="s">
        <v>2785</v>
      </c>
      <c r="D514" s="44">
        <v>232</v>
      </c>
      <c r="E514" s="44">
        <v>0</v>
      </c>
      <c r="F514" s="44">
        <f>'NonPublic Enrollment'!$E514*0.1</f>
        <v>0</v>
      </c>
      <c r="G514" s="44">
        <v>14</v>
      </c>
      <c r="H514" s="44">
        <f>'NonPublic Enrollment'!$G514*0.7374</f>
        <v>10.323600000000001</v>
      </c>
      <c r="I514" s="44">
        <v>0</v>
      </c>
      <c r="J514" s="44">
        <f>'NonPublic Enrollment'!$I514*0.2906</f>
        <v>0</v>
      </c>
      <c r="K514" s="44">
        <f>'NonPublic Enrollment'!$D514+'NonPublic Enrollment'!$F514+'NonPublic Enrollment'!$H514+'NonPublic Enrollment'!$J514</f>
        <v>242.3236</v>
      </c>
      <c r="L514" s="37" t="s">
        <v>2569</v>
      </c>
    </row>
    <row r="515" spans="1:12">
      <c r="A515" s="38" t="s">
        <v>2561</v>
      </c>
      <c r="B515" s="38" t="str">
        <f>"060947"</f>
        <v>060947</v>
      </c>
      <c r="C515" s="38" t="s">
        <v>2784</v>
      </c>
      <c r="D515" s="45">
        <v>156</v>
      </c>
      <c r="E515" s="45">
        <v>15</v>
      </c>
      <c r="F515" s="45">
        <f>'NonPublic Enrollment'!$E515*0.1</f>
        <v>1.5</v>
      </c>
      <c r="G515" s="45">
        <v>13</v>
      </c>
      <c r="H515" s="45">
        <f>'NonPublic Enrollment'!$G515*0.7374</f>
        <v>9.5862000000000016</v>
      </c>
      <c r="I515" s="45">
        <v>0</v>
      </c>
      <c r="J515" s="45">
        <f>'NonPublic Enrollment'!$I515*0.2906</f>
        <v>0</v>
      </c>
      <c r="K515" s="45">
        <f>'NonPublic Enrollment'!$D515+'NonPublic Enrollment'!$F515+'NonPublic Enrollment'!$H515+'NonPublic Enrollment'!$J515</f>
        <v>167.08619999999999</v>
      </c>
      <c r="L515" s="39" t="s">
        <v>2586</v>
      </c>
    </row>
    <row r="516" spans="1:12">
      <c r="A516" s="36" t="s">
        <v>2561</v>
      </c>
      <c r="B516" s="36" t="str">
        <f>"054627"</f>
        <v>054627</v>
      </c>
      <c r="C516" s="36" t="s">
        <v>2783</v>
      </c>
      <c r="D516" s="44">
        <v>178</v>
      </c>
      <c r="E516" s="44">
        <v>16</v>
      </c>
      <c r="F516" s="44">
        <f>'NonPublic Enrollment'!$E516*0.1</f>
        <v>1.6</v>
      </c>
      <c r="G516" s="44">
        <v>13</v>
      </c>
      <c r="H516" s="44">
        <f>'NonPublic Enrollment'!$G516*0.7374</f>
        <v>9.5862000000000016</v>
      </c>
      <c r="I516" s="44">
        <v>0</v>
      </c>
      <c r="J516" s="44">
        <f>'NonPublic Enrollment'!$I516*0.2906</f>
        <v>0</v>
      </c>
      <c r="K516" s="44">
        <f>'NonPublic Enrollment'!$D516+'NonPublic Enrollment'!$F516+'NonPublic Enrollment'!$H516+'NonPublic Enrollment'!$J516</f>
        <v>189.18619999999999</v>
      </c>
      <c r="L516" s="37" t="s">
        <v>2562</v>
      </c>
    </row>
    <row r="517" spans="1:12">
      <c r="A517" s="38" t="s">
        <v>2561</v>
      </c>
      <c r="B517" s="38" t="str">
        <f>"054817"</f>
        <v>054817</v>
      </c>
      <c r="C517" s="38" t="s">
        <v>2733</v>
      </c>
      <c r="D517" s="45">
        <v>210</v>
      </c>
      <c r="E517" s="45">
        <v>16</v>
      </c>
      <c r="F517" s="45">
        <f>'NonPublic Enrollment'!$E517*0.1</f>
        <v>1.6</v>
      </c>
      <c r="G517" s="45">
        <v>13</v>
      </c>
      <c r="H517" s="45">
        <f>'NonPublic Enrollment'!$G517*0.7374</f>
        <v>9.5862000000000016</v>
      </c>
      <c r="I517" s="45">
        <v>0</v>
      </c>
      <c r="J517" s="45">
        <f>'NonPublic Enrollment'!$I517*0.2906</f>
        <v>0</v>
      </c>
      <c r="K517" s="45">
        <f>'NonPublic Enrollment'!$D517+'NonPublic Enrollment'!$F517+'NonPublic Enrollment'!$H517+'NonPublic Enrollment'!$J517</f>
        <v>221.18619999999999</v>
      </c>
      <c r="L517" s="39" t="s">
        <v>2562</v>
      </c>
    </row>
    <row r="518" spans="1:12">
      <c r="A518" s="36" t="s">
        <v>2561</v>
      </c>
      <c r="B518" s="36" t="str">
        <f>"070664"</f>
        <v>070664</v>
      </c>
      <c r="C518" s="36" t="s">
        <v>2782</v>
      </c>
      <c r="D518" s="44">
        <v>262</v>
      </c>
      <c r="E518" s="44">
        <v>19</v>
      </c>
      <c r="F518" s="44">
        <f>'NonPublic Enrollment'!$E518*0.1</f>
        <v>1.9000000000000001</v>
      </c>
      <c r="G518" s="44">
        <v>13</v>
      </c>
      <c r="H518" s="44">
        <f>'NonPublic Enrollment'!$G518*0.7374</f>
        <v>9.5862000000000016</v>
      </c>
      <c r="I518" s="44">
        <v>0</v>
      </c>
      <c r="J518" s="44">
        <f>'NonPublic Enrollment'!$I518*0.2906</f>
        <v>0</v>
      </c>
      <c r="K518" s="44">
        <f>'NonPublic Enrollment'!$D518+'NonPublic Enrollment'!$F518+'NonPublic Enrollment'!$H518+'NonPublic Enrollment'!$J518</f>
        <v>273.4862</v>
      </c>
      <c r="L518" s="37" t="s">
        <v>2586</v>
      </c>
    </row>
    <row r="519" spans="1:12">
      <c r="A519" s="38" t="s">
        <v>2561</v>
      </c>
      <c r="B519" s="38" t="str">
        <f>"057117"</f>
        <v>057117</v>
      </c>
      <c r="C519" s="38" t="s">
        <v>2625</v>
      </c>
      <c r="D519" s="45">
        <v>157</v>
      </c>
      <c r="E519" s="45">
        <v>21</v>
      </c>
      <c r="F519" s="45">
        <f>'NonPublic Enrollment'!$E519*0.1</f>
        <v>2.1</v>
      </c>
      <c r="G519" s="45">
        <v>13</v>
      </c>
      <c r="H519" s="45">
        <f>'NonPublic Enrollment'!$G519*0.7374</f>
        <v>9.5862000000000016</v>
      </c>
      <c r="I519" s="45">
        <v>0</v>
      </c>
      <c r="J519" s="45">
        <f>'NonPublic Enrollment'!$I519*0.2906</f>
        <v>0</v>
      </c>
      <c r="K519" s="45">
        <f>'NonPublic Enrollment'!$D519+'NonPublic Enrollment'!$F519+'NonPublic Enrollment'!$H519+'NonPublic Enrollment'!$J519</f>
        <v>168.68619999999999</v>
      </c>
      <c r="L519" s="39" t="s">
        <v>2562</v>
      </c>
    </row>
    <row r="520" spans="1:12">
      <c r="A520" s="36" t="s">
        <v>2561</v>
      </c>
      <c r="B520" s="36" t="str">
        <f>"058479"</f>
        <v>058479</v>
      </c>
      <c r="C520" s="36" t="s">
        <v>2781</v>
      </c>
      <c r="D520" s="44">
        <v>88</v>
      </c>
      <c r="E520" s="44">
        <v>26</v>
      </c>
      <c r="F520" s="44">
        <f>'NonPublic Enrollment'!$E520*0.1</f>
        <v>2.6</v>
      </c>
      <c r="G520" s="44">
        <v>13</v>
      </c>
      <c r="H520" s="44">
        <f>'NonPublic Enrollment'!$G520*0.7374</f>
        <v>9.5862000000000016</v>
      </c>
      <c r="I520" s="44">
        <v>0</v>
      </c>
      <c r="J520" s="44">
        <f>'NonPublic Enrollment'!$I520*0.2906</f>
        <v>0</v>
      </c>
      <c r="K520" s="44">
        <f>'NonPublic Enrollment'!$D520+'NonPublic Enrollment'!$F520+'NonPublic Enrollment'!$H520+'NonPublic Enrollment'!$J520</f>
        <v>100.1862</v>
      </c>
      <c r="L520" s="37" t="s">
        <v>2586</v>
      </c>
    </row>
    <row r="521" spans="1:12">
      <c r="A521" s="38" t="s">
        <v>2561</v>
      </c>
      <c r="B521" s="38" t="str">
        <f>"058768"</f>
        <v>058768</v>
      </c>
      <c r="C521" s="38" t="s">
        <v>2780</v>
      </c>
      <c r="D521" s="45">
        <v>175</v>
      </c>
      <c r="E521" s="45">
        <v>33</v>
      </c>
      <c r="F521" s="45">
        <f>'NonPublic Enrollment'!$E521*0.1</f>
        <v>3.3000000000000003</v>
      </c>
      <c r="G521" s="45">
        <v>13</v>
      </c>
      <c r="H521" s="45">
        <f>'NonPublic Enrollment'!$G521*0.7374</f>
        <v>9.5862000000000016</v>
      </c>
      <c r="I521" s="45">
        <v>0</v>
      </c>
      <c r="J521" s="45">
        <f>'NonPublic Enrollment'!$I521*0.2906</f>
        <v>0</v>
      </c>
      <c r="K521" s="45">
        <f>'NonPublic Enrollment'!$D521+'NonPublic Enrollment'!$F521+'NonPublic Enrollment'!$H521+'NonPublic Enrollment'!$J521</f>
        <v>187.8862</v>
      </c>
      <c r="L521" s="39" t="s">
        <v>2562</v>
      </c>
    </row>
    <row r="522" spans="1:12">
      <c r="A522" s="36" t="s">
        <v>2561</v>
      </c>
      <c r="B522" s="36" t="str">
        <f>"056424"</f>
        <v>056424</v>
      </c>
      <c r="C522" s="36" t="s">
        <v>2742</v>
      </c>
      <c r="D522" s="44">
        <v>204</v>
      </c>
      <c r="E522" s="44">
        <v>59</v>
      </c>
      <c r="F522" s="44">
        <f>'NonPublic Enrollment'!$E522*0.1</f>
        <v>5.9</v>
      </c>
      <c r="G522" s="44">
        <v>13</v>
      </c>
      <c r="H522" s="44">
        <f>'NonPublic Enrollment'!$G522*0.7374</f>
        <v>9.5862000000000016</v>
      </c>
      <c r="I522" s="44">
        <v>0</v>
      </c>
      <c r="J522" s="44">
        <f>'NonPublic Enrollment'!$I522*0.2906</f>
        <v>0</v>
      </c>
      <c r="K522" s="44">
        <f>'NonPublic Enrollment'!$D522+'NonPublic Enrollment'!$F522+'NonPublic Enrollment'!$H522+'NonPublic Enrollment'!$J522</f>
        <v>219.4862</v>
      </c>
      <c r="L522" s="37" t="s">
        <v>2569</v>
      </c>
    </row>
    <row r="523" spans="1:12">
      <c r="A523" s="38" t="s">
        <v>2561</v>
      </c>
      <c r="B523" s="38" t="str">
        <f>"057356"</f>
        <v>057356</v>
      </c>
      <c r="C523" s="38" t="s">
        <v>2757</v>
      </c>
      <c r="D523" s="45">
        <v>216</v>
      </c>
      <c r="E523" s="45">
        <v>109</v>
      </c>
      <c r="F523" s="45">
        <f>'NonPublic Enrollment'!$E523*0.1</f>
        <v>10.9</v>
      </c>
      <c r="G523" s="45">
        <v>13</v>
      </c>
      <c r="H523" s="45">
        <f>'NonPublic Enrollment'!$G523*0.7374</f>
        <v>9.5862000000000016</v>
      </c>
      <c r="I523" s="45">
        <v>0</v>
      </c>
      <c r="J523" s="45">
        <f>'NonPublic Enrollment'!$I523*0.2906</f>
        <v>0</v>
      </c>
      <c r="K523" s="45">
        <f>'NonPublic Enrollment'!$D523+'NonPublic Enrollment'!$F523+'NonPublic Enrollment'!$H523+'NonPublic Enrollment'!$J523</f>
        <v>236.4862</v>
      </c>
      <c r="L523" s="39" t="s">
        <v>2562</v>
      </c>
    </row>
    <row r="524" spans="1:12">
      <c r="A524" s="36" t="s">
        <v>2561</v>
      </c>
      <c r="B524" s="36" t="str">
        <f>"120865"</f>
        <v>120865</v>
      </c>
      <c r="C524" s="36" t="s">
        <v>2779</v>
      </c>
      <c r="D524" s="44">
        <v>190</v>
      </c>
      <c r="E524" s="44">
        <v>148</v>
      </c>
      <c r="F524" s="44">
        <f>'NonPublic Enrollment'!$E524*0.1</f>
        <v>14.8</v>
      </c>
      <c r="G524" s="44">
        <v>13</v>
      </c>
      <c r="H524" s="44">
        <f>'NonPublic Enrollment'!$G524*0.7374</f>
        <v>9.5862000000000016</v>
      </c>
      <c r="I524" s="44">
        <v>0</v>
      </c>
      <c r="J524" s="44">
        <f>'NonPublic Enrollment'!$I524*0.2906</f>
        <v>0</v>
      </c>
      <c r="K524" s="44">
        <f>'NonPublic Enrollment'!$D524+'NonPublic Enrollment'!$F524+'NonPublic Enrollment'!$H524+'NonPublic Enrollment'!$J524</f>
        <v>214.3862</v>
      </c>
      <c r="L524" s="37" t="s">
        <v>2562</v>
      </c>
    </row>
    <row r="525" spans="1:12">
      <c r="A525" s="38" t="s">
        <v>2561</v>
      </c>
      <c r="B525" s="38" t="str">
        <f>"060020"</f>
        <v>060020</v>
      </c>
      <c r="C525" s="38" t="s">
        <v>2778</v>
      </c>
      <c r="D525" s="45">
        <v>272</v>
      </c>
      <c r="E525" s="45">
        <v>152</v>
      </c>
      <c r="F525" s="45">
        <f>'NonPublic Enrollment'!$E525*0.1</f>
        <v>15.200000000000001</v>
      </c>
      <c r="G525" s="45">
        <v>13</v>
      </c>
      <c r="H525" s="45">
        <f>'NonPublic Enrollment'!$G525*0.7374</f>
        <v>9.5862000000000016</v>
      </c>
      <c r="I525" s="45">
        <v>0</v>
      </c>
      <c r="J525" s="45">
        <f>'NonPublic Enrollment'!$I525*0.2906</f>
        <v>0</v>
      </c>
      <c r="K525" s="45">
        <f>'NonPublic Enrollment'!$D525+'NonPublic Enrollment'!$F525+'NonPublic Enrollment'!$H525+'NonPublic Enrollment'!$J525</f>
        <v>296.78620000000001</v>
      </c>
      <c r="L525" s="39" t="s">
        <v>2591</v>
      </c>
    </row>
    <row r="526" spans="1:12">
      <c r="A526" s="36" t="s">
        <v>2561</v>
      </c>
      <c r="B526" s="36" t="str">
        <f>"058503"</f>
        <v>058503</v>
      </c>
      <c r="C526" s="36" t="s">
        <v>2777</v>
      </c>
      <c r="D526" s="44">
        <v>334</v>
      </c>
      <c r="E526" s="44">
        <v>267</v>
      </c>
      <c r="F526" s="44">
        <f>'NonPublic Enrollment'!$E526*0.1</f>
        <v>26.700000000000003</v>
      </c>
      <c r="G526" s="44">
        <v>13</v>
      </c>
      <c r="H526" s="44">
        <f>'NonPublic Enrollment'!$G526*0.7374</f>
        <v>9.5862000000000016</v>
      </c>
      <c r="I526" s="44">
        <v>0</v>
      </c>
      <c r="J526" s="44">
        <f>'NonPublic Enrollment'!$I526*0.2906</f>
        <v>0</v>
      </c>
      <c r="K526" s="44">
        <f>'NonPublic Enrollment'!$D526+'NonPublic Enrollment'!$F526+'NonPublic Enrollment'!$H526+'NonPublic Enrollment'!$J526</f>
        <v>370.28620000000001</v>
      </c>
      <c r="L526" s="37" t="s">
        <v>2562</v>
      </c>
    </row>
    <row r="527" spans="1:12">
      <c r="A527" s="38" t="s">
        <v>2561</v>
      </c>
      <c r="B527" s="38" t="str">
        <f>"090209"</f>
        <v>090209</v>
      </c>
      <c r="C527" s="38" t="s">
        <v>2776</v>
      </c>
      <c r="D527" s="45">
        <v>625</v>
      </c>
      <c r="E527" s="45">
        <v>0</v>
      </c>
      <c r="F527" s="45">
        <f>'NonPublic Enrollment'!$E527*0.1</f>
        <v>0</v>
      </c>
      <c r="G527" s="45">
        <v>13</v>
      </c>
      <c r="H527" s="45">
        <f>'NonPublic Enrollment'!$G527*0.7374</f>
        <v>9.5862000000000016</v>
      </c>
      <c r="I527" s="45">
        <v>0</v>
      </c>
      <c r="J527" s="45">
        <f>'NonPublic Enrollment'!$I527*0.2906</f>
        <v>0</v>
      </c>
      <c r="K527" s="45">
        <f>'NonPublic Enrollment'!$D527+'NonPublic Enrollment'!$F527+'NonPublic Enrollment'!$H527+'NonPublic Enrollment'!$J527</f>
        <v>634.58619999999996</v>
      </c>
      <c r="L527" s="39" t="s">
        <v>2562</v>
      </c>
    </row>
    <row r="528" spans="1:12">
      <c r="A528" s="36" t="s">
        <v>2561</v>
      </c>
      <c r="B528" s="36" t="str">
        <f>"052845"</f>
        <v>052845</v>
      </c>
      <c r="C528" s="36" t="s">
        <v>2775</v>
      </c>
      <c r="D528" s="44">
        <v>319</v>
      </c>
      <c r="E528" s="44">
        <v>0</v>
      </c>
      <c r="F528" s="44">
        <f>'NonPublic Enrollment'!$E528*0.1</f>
        <v>0</v>
      </c>
      <c r="G528" s="44">
        <v>12</v>
      </c>
      <c r="H528" s="44">
        <f>'NonPublic Enrollment'!$G528*0.7374</f>
        <v>8.8488000000000007</v>
      </c>
      <c r="I528" s="44">
        <v>0</v>
      </c>
      <c r="J528" s="44">
        <f>'NonPublic Enrollment'!$I528*0.2906</f>
        <v>0</v>
      </c>
      <c r="K528" s="44">
        <f>'NonPublic Enrollment'!$D528+'NonPublic Enrollment'!$F528+'NonPublic Enrollment'!$H528+'NonPublic Enrollment'!$J528</f>
        <v>327.84879999999998</v>
      </c>
      <c r="L528" s="37" t="s">
        <v>2591</v>
      </c>
    </row>
    <row r="529" spans="1:12">
      <c r="A529" s="38" t="s">
        <v>2561</v>
      </c>
      <c r="B529" s="38" t="str">
        <f>"057141"</f>
        <v>057141</v>
      </c>
      <c r="C529" s="38" t="s">
        <v>2672</v>
      </c>
      <c r="D529" s="45">
        <v>170</v>
      </c>
      <c r="E529" s="45">
        <v>7</v>
      </c>
      <c r="F529" s="45">
        <f>'NonPublic Enrollment'!$E529*0.1</f>
        <v>0.70000000000000007</v>
      </c>
      <c r="G529" s="45">
        <v>12</v>
      </c>
      <c r="H529" s="45">
        <f>'NonPublic Enrollment'!$G529*0.7374</f>
        <v>8.8488000000000007</v>
      </c>
      <c r="I529" s="45">
        <v>0</v>
      </c>
      <c r="J529" s="45">
        <f>'NonPublic Enrollment'!$I529*0.2906</f>
        <v>0</v>
      </c>
      <c r="K529" s="45">
        <f>'NonPublic Enrollment'!$D529+'NonPublic Enrollment'!$F529+'NonPublic Enrollment'!$H529+'NonPublic Enrollment'!$J529</f>
        <v>179.5488</v>
      </c>
      <c r="L529" s="39" t="s">
        <v>2586</v>
      </c>
    </row>
    <row r="530" spans="1:12">
      <c r="A530" s="36" t="s">
        <v>2561</v>
      </c>
      <c r="B530" s="36" t="str">
        <f>"057661"</f>
        <v>057661</v>
      </c>
      <c r="C530" s="36" t="s">
        <v>2671</v>
      </c>
      <c r="D530" s="44">
        <v>340</v>
      </c>
      <c r="E530" s="44">
        <v>11</v>
      </c>
      <c r="F530" s="44">
        <f>'NonPublic Enrollment'!$E530*0.1</f>
        <v>1.1000000000000001</v>
      </c>
      <c r="G530" s="44">
        <v>12</v>
      </c>
      <c r="H530" s="44">
        <f>'NonPublic Enrollment'!$G530*0.7374</f>
        <v>8.8488000000000007</v>
      </c>
      <c r="I530" s="44">
        <v>0</v>
      </c>
      <c r="J530" s="44">
        <f>'NonPublic Enrollment'!$I530*0.2906</f>
        <v>0</v>
      </c>
      <c r="K530" s="44">
        <f>'NonPublic Enrollment'!$D530+'NonPublic Enrollment'!$F530+'NonPublic Enrollment'!$H530+'NonPublic Enrollment'!$J530</f>
        <v>349.94880000000001</v>
      </c>
      <c r="L530" s="37" t="s">
        <v>2591</v>
      </c>
    </row>
    <row r="531" spans="1:12">
      <c r="A531" s="38" t="s">
        <v>2561</v>
      </c>
      <c r="B531" s="38" t="str">
        <f>"058388"</f>
        <v>058388</v>
      </c>
      <c r="C531" s="38" t="s">
        <v>2689</v>
      </c>
      <c r="D531" s="45">
        <v>133</v>
      </c>
      <c r="E531" s="45">
        <v>11</v>
      </c>
      <c r="F531" s="45">
        <f>'NonPublic Enrollment'!$E531*0.1</f>
        <v>1.1000000000000001</v>
      </c>
      <c r="G531" s="45">
        <v>12</v>
      </c>
      <c r="H531" s="45">
        <f>'NonPublic Enrollment'!$G531*0.7374</f>
        <v>8.8488000000000007</v>
      </c>
      <c r="I531" s="45">
        <v>0</v>
      </c>
      <c r="J531" s="45">
        <f>'NonPublic Enrollment'!$I531*0.2906</f>
        <v>0</v>
      </c>
      <c r="K531" s="45">
        <f>'NonPublic Enrollment'!$D531+'NonPublic Enrollment'!$F531+'NonPublic Enrollment'!$H531+'NonPublic Enrollment'!$J531</f>
        <v>142.94880000000001</v>
      </c>
      <c r="L531" s="39" t="s">
        <v>2586</v>
      </c>
    </row>
    <row r="532" spans="1:12">
      <c r="A532" s="36" t="s">
        <v>2561</v>
      </c>
      <c r="B532" s="36" t="str">
        <f>"056549"</f>
        <v>056549</v>
      </c>
      <c r="C532" s="36" t="s">
        <v>2774</v>
      </c>
      <c r="D532" s="44">
        <v>390</v>
      </c>
      <c r="E532" s="44">
        <v>15</v>
      </c>
      <c r="F532" s="44">
        <f>'NonPublic Enrollment'!$E532*0.1</f>
        <v>1.5</v>
      </c>
      <c r="G532" s="44">
        <v>12</v>
      </c>
      <c r="H532" s="44">
        <f>'NonPublic Enrollment'!$G532*0.7374</f>
        <v>8.8488000000000007</v>
      </c>
      <c r="I532" s="44">
        <v>0</v>
      </c>
      <c r="J532" s="44">
        <f>'NonPublic Enrollment'!$I532*0.2906</f>
        <v>0</v>
      </c>
      <c r="K532" s="44">
        <f>'NonPublic Enrollment'!$D532+'NonPublic Enrollment'!$F532+'NonPublic Enrollment'!$H532+'NonPublic Enrollment'!$J532</f>
        <v>400.34879999999998</v>
      </c>
      <c r="L532" s="37" t="s">
        <v>2569</v>
      </c>
    </row>
    <row r="533" spans="1:12">
      <c r="A533" s="38" t="s">
        <v>2561</v>
      </c>
      <c r="B533" s="38" t="str">
        <f>"068031"</f>
        <v>068031</v>
      </c>
      <c r="C533" s="38" t="s">
        <v>2773</v>
      </c>
      <c r="D533" s="45">
        <v>208</v>
      </c>
      <c r="E533" s="45">
        <v>27</v>
      </c>
      <c r="F533" s="45">
        <f>'NonPublic Enrollment'!$E533*0.1</f>
        <v>2.7</v>
      </c>
      <c r="G533" s="45">
        <v>12</v>
      </c>
      <c r="H533" s="45">
        <f>'NonPublic Enrollment'!$G533*0.7374</f>
        <v>8.8488000000000007</v>
      </c>
      <c r="I533" s="45">
        <v>0</v>
      </c>
      <c r="J533" s="45">
        <f>'NonPublic Enrollment'!$I533*0.2906</f>
        <v>0</v>
      </c>
      <c r="K533" s="45">
        <f>'NonPublic Enrollment'!$D533+'NonPublic Enrollment'!$F533+'NonPublic Enrollment'!$H533+'NonPublic Enrollment'!$J533</f>
        <v>219.5488</v>
      </c>
      <c r="L533" s="39" t="s">
        <v>2562</v>
      </c>
    </row>
    <row r="534" spans="1:12">
      <c r="A534" s="36" t="s">
        <v>2561</v>
      </c>
      <c r="B534" s="36" t="str">
        <f>"057687"</f>
        <v>057687</v>
      </c>
      <c r="C534" s="36" t="s">
        <v>2772</v>
      </c>
      <c r="D534" s="44">
        <v>220</v>
      </c>
      <c r="E534" s="44">
        <v>37</v>
      </c>
      <c r="F534" s="44">
        <f>'NonPublic Enrollment'!$E534*0.1</f>
        <v>3.7</v>
      </c>
      <c r="G534" s="44">
        <v>12</v>
      </c>
      <c r="H534" s="44">
        <f>'NonPublic Enrollment'!$G534*0.7374</f>
        <v>8.8488000000000007</v>
      </c>
      <c r="I534" s="44">
        <v>0</v>
      </c>
      <c r="J534" s="44">
        <f>'NonPublic Enrollment'!$I534*0.2906</f>
        <v>0</v>
      </c>
      <c r="K534" s="44">
        <f>'NonPublic Enrollment'!$D534+'NonPublic Enrollment'!$F534+'NonPublic Enrollment'!$H534+'NonPublic Enrollment'!$J534</f>
        <v>232.5488</v>
      </c>
      <c r="L534" s="37" t="s">
        <v>2591</v>
      </c>
    </row>
    <row r="535" spans="1:12">
      <c r="A535" s="38" t="s">
        <v>2561</v>
      </c>
      <c r="B535" s="38" t="str">
        <f>"055137"</f>
        <v>055137</v>
      </c>
      <c r="C535" s="38" t="s">
        <v>2771</v>
      </c>
      <c r="D535" s="45">
        <v>386</v>
      </c>
      <c r="E535" s="45">
        <v>55</v>
      </c>
      <c r="F535" s="45">
        <f>'NonPublic Enrollment'!$E535*0.1</f>
        <v>5.5</v>
      </c>
      <c r="G535" s="45">
        <v>12</v>
      </c>
      <c r="H535" s="45">
        <f>'NonPublic Enrollment'!$G535*0.7374</f>
        <v>8.8488000000000007</v>
      </c>
      <c r="I535" s="45">
        <v>0</v>
      </c>
      <c r="J535" s="45">
        <f>'NonPublic Enrollment'!$I535*0.2906</f>
        <v>0</v>
      </c>
      <c r="K535" s="45">
        <f>'NonPublic Enrollment'!$D535+'NonPublic Enrollment'!$F535+'NonPublic Enrollment'!$H535+'NonPublic Enrollment'!$J535</f>
        <v>400.34879999999998</v>
      </c>
      <c r="L535" s="39" t="s">
        <v>2562</v>
      </c>
    </row>
    <row r="536" spans="1:12">
      <c r="A536" s="36" t="s">
        <v>2561</v>
      </c>
      <c r="B536" s="36" t="str">
        <f>"054759"</f>
        <v>054759</v>
      </c>
      <c r="C536" s="36" t="s">
        <v>2770</v>
      </c>
      <c r="D536" s="44">
        <v>174</v>
      </c>
      <c r="E536" s="44">
        <v>57</v>
      </c>
      <c r="F536" s="44">
        <f>'NonPublic Enrollment'!$E536*0.1</f>
        <v>5.7</v>
      </c>
      <c r="G536" s="44">
        <v>12</v>
      </c>
      <c r="H536" s="44">
        <f>'NonPublic Enrollment'!$G536*0.7374</f>
        <v>8.8488000000000007</v>
      </c>
      <c r="I536" s="44">
        <v>0</v>
      </c>
      <c r="J536" s="44">
        <f>'NonPublic Enrollment'!$I536*0.2906</f>
        <v>0</v>
      </c>
      <c r="K536" s="44">
        <f>'NonPublic Enrollment'!$D536+'NonPublic Enrollment'!$F536+'NonPublic Enrollment'!$H536+'NonPublic Enrollment'!$J536</f>
        <v>188.5488</v>
      </c>
      <c r="L536" s="37" t="s">
        <v>2562</v>
      </c>
    </row>
    <row r="537" spans="1:12">
      <c r="A537" s="38" t="s">
        <v>2561</v>
      </c>
      <c r="B537" s="38" t="str">
        <f>"060582"</f>
        <v>060582</v>
      </c>
      <c r="C537" s="38" t="s">
        <v>2769</v>
      </c>
      <c r="D537" s="45">
        <v>126</v>
      </c>
      <c r="E537" s="45">
        <v>78</v>
      </c>
      <c r="F537" s="45">
        <f>'NonPublic Enrollment'!$E537*0.1</f>
        <v>7.8000000000000007</v>
      </c>
      <c r="G537" s="45">
        <v>12</v>
      </c>
      <c r="H537" s="45">
        <f>'NonPublic Enrollment'!$G537*0.7374</f>
        <v>8.8488000000000007</v>
      </c>
      <c r="I537" s="45">
        <v>0</v>
      </c>
      <c r="J537" s="45">
        <f>'NonPublic Enrollment'!$I537*0.2906</f>
        <v>0</v>
      </c>
      <c r="K537" s="45">
        <f>'NonPublic Enrollment'!$D537+'NonPublic Enrollment'!$F537+'NonPublic Enrollment'!$H537+'NonPublic Enrollment'!$J537</f>
        <v>142.64880000000002</v>
      </c>
      <c r="L537" s="39" t="s">
        <v>2562</v>
      </c>
    </row>
    <row r="538" spans="1:12">
      <c r="A538" s="36" t="s">
        <v>2561</v>
      </c>
      <c r="B538" s="36" t="str">
        <f>"060152"</f>
        <v>060152</v>
      </c>
      <c r="C538" s="36" t="s">
        <v>2768</v>
      </c>
      <c r="D538" s="44">
        <v>323</v>
      </c>
      <c r="E538" s="44">
        <v>103</v>
      </c>
      <c r="F538" s="44">
        <f>'NonPublic Enrollment'!$E538*0.1</f>
        <v>10.3</v>
      </c>
      <c r="G538" s="44">
        <v>12</v>
      </c>
      <c r="H538" s="44">
        <f>'NonPublic Enrollment'!$G538*0.7374</f>
        <v>8.8488000000000007</v>
      </c>
      <c r="I538" s="44">
        <v>0</v>
      </c>
      <c r="J538" s="44">
        <f>'NonPublic Enrollment'!$I538*0.2906</f>
        <v>0</v>
      </c>
      <c r="K538" s="44">
        <f>'NonPublic Enrollment'!$D538+'NonPublic Enrollment'!$F538+'NonPublic Enrollment'!$H538+'NonPublic Enrollment'!$J538</f>
        <v>342.14879999999999</v>
      </c>
      <c r="L538" s="37" t="s">
        <v>2562</v>
      </c>
    </row>
    <row r="539" spans="1:12">
      <c r="A539" s="38" t="s">
        <v>2561</v>
      </c>
      <c r="B539" s="38" t="str">
        <f>"057067"</f>
        <v>057067</v>
      </c>
      <c r="C539" s="38" t="s">
        <v>2767</v>
      </c>
      <c r="D539" s="45">
        <v>204</v>
      </c>
      <c r="E539" s="45">
        <v>153</v>
      </c>
      <c r="F539" s="45">
        <f>'NonPublic Enrollment'!$E539*0.1</f>
        <v>15.3</v>
      </c>
      <c r="G539" s="45">
        <v>12</v>
      </c>
      <c r="H539" s="45">
        <f>'NonPublic Enrollment'!$G539*0.7374</f>
        <v>8.8488000000000007</v>
      </c>
      <c r="I539" s="45">
        <v>0</v>
      </c>
      <c r="J539" s="45">
        <f>'NonPublic Enrollment'!$I539*0.2906</f>
        <v>0</v>
      </c>
      <c r="K539" s="45">
        <f>'NonPublic Enrollment'!$D539+'NonPublic Enrollment'!$F539+'NonPublic Enrollment'!$H539+'NonPublic Enrollment'!$J539</f>
        <v>228.14880000000002</v>
      </c>
      <c r="L539" s="39" t="s">
        <v>2586</v>
      </c>
    </row>
    <row r="540" spans="1:12">
      <c r="A540" s="36" t="s">
        <v>2561</v>
      </c>
      <c r="B540" s="36" t="str">
        <f>"008071"</f>
        <v>008071</v>
      </c>
      <c r="C540" s="36" t="s">
        <v>2766</v>
      </c>
      <c r="D540" s="44">
        <v>233</v>
      </c>
      <c r="E540" s="44">
        <v>0</v>
      </c>
      <c r="F540" s="44">
        <f>'NonPublic Enrollment'!$E540*0.1</f>
        <v>0</v>
      </c>
      <c r="G540" s="44">
        <v>12</v>
      </c>
      <c r="H540" s="44">
        <f>'NonPublic Enrollment'!$G540*0.7374</f>
        <v>8.8488000000000007</v>
      </c>
      <c r="I540" s="44">
        <v>0</v>
      </c>
      <c r="J540" s="44">
        <f>'NonPublic Enrollment'!$I540*0.2906</f>
        <v>0</v>
      </c>
      <c r="K540" s="44">
        <f>'NonPublic Enrollment'!$D540+'NonPublic Enrollment'!$F540+'NonPublic Enrollment'!$H540+'NonPublic Enrollment'!$J540</f>
        <v>241.84880000000001</v>
      </c>
      <c r="L540" s="37" t="s">
        <v>2562</v>
      </c>
    </row>
    <row r="541" spans="1:12">
      <c r="A541" s="38" t="s">
        <v>2561</v>
      </c>
      <c r="B541" s="38" t="str">
        <f>"052837"</f>
        <v>052837</v>
      </c>
      <c r="C541" s="38" t="s">
        <v>2765</v>
      </c>
      <c r="D541" s="45">
        <v>212</v>
      </c>
      <c r="E541" s="45">
        <v>0</v>
      </c>
      <c r="F541" s="45">
        <f>'NonPublic Enrollment'!$E541*0.1</f>
        <v>0</v>
      </c>
      <c r="G541" s="45">
        <v>12</v>
      </c>
      <c r="H541" s="45">
        <f>'NonPublic Enrollment'!$G541*0.7374</f>
        <v>8.8488000000000007</v>
      </c>
      <c r="I541" s="45">
        <v>0</v>
      </c>
      <c r="J541" s="45">
        <f>'NonPublic Enrollment'!$I541*0.2906</f>
        <v>0</v>
      </c>
      <c r="K541" s="45">
        <f>'NonPublic Enrollment'!$D541+'NonPublic Enrollment'!$F541+'NonPublic Enrollment'!$H541+'NonPublic Enrollment'!$J541</f>
        <v>220.84880000000001</v>
      </c>
      <c r="L541" s="39" t="s">
        <v>2562</v>
      </c>
    </row>
    <row r="542" spans="1:12">
      <c r="A542" s="36" t="s">
        <v>2561</v>
      </c>
      <c r="B542" s="36" t="str">
        <f>"112508"</f>
        <v>112508</v>
      </c>
      <c r="C542" s="36" t="s">
        <v>2764</v>
      </c>
      <c r="D542" s="44">
        <v>83</v>
      </c>
      <c r="E542" s="44">
        <v>0</v>
      </c>
      <c r="F542" s="44">
        <f>'NonPublic Enrollment'!$E542*0.1</f>
        <v>0</v>
      </c>
      <c r="G542" s="44">
        <v>12</v>
      </c>
      <c r="H542" s="44">
        <f>'NonPublic Enrollment'!$G542*0.7374</f>
        <v>8.8488000000000007</v>
      </c>
      <c r="I542" s="44">
        <v>0</v>
      </c>
      <c r="J542" s="44">
        <f>'NonPublic Enrollment'!$I542*0.2906</f>
        <v>0</v>
      </c>
      <c r="K542" s="44">
        <f>'NonPublic Enrollment'!$D542+'NonPublic Enrollment'!$F542+'NonPublic Enrollment'!$H542+'NonPublic Enrollment'!$J542</f>
        <v>91.848799999999997</v>
      </c>
      <c r="L542" s="37" t="s">
        <v>2562</v>
      </c>
    </row>
    <row r="543" spans="1:12">
      <c r="A543" s="38" t="s">
        <v>2561</v>
      </c>
      <c r="B543" s="38" t="str">
        <f>"134460"</f>
        <v>134460</v>
      </c>
      <c r="C543" s="38" t="s">
        <v>2763</v>
      </c>
      <c r="D543" s="45">
        <v>110</v>
      </c>
      <c r="E543" s="45">
        <v>0</v>
      </c>
      <c r="F543" s="45">
        <f>'NonPublic Enrollment'!$E543*0.1</f>
        <v>0</v>
      </c>
      <c r="G543" s="45">
        <v>12</v>
      </c>
      <c r="H543" s="45">
        <f>'NonPublic Enrollment'!$G543*0.7374</f>
        <v>8.8488000000000007</v>
      </c>
      <c r="I543" s="45">
        <v>0</v>
      </c>
      <c r="J543" s="45">
        <f>'NonPublic Enrollment'!$I543*0.2906</f>
        <v>0</v>
      </c>
      <c r="K543" s="45">
        <f>'NonPublic Enrollment'!$D543+'NonPublic Enrollment'!$F543+'NonPublic Enrollment'!$H543+'NonPublic Enrollment'!$J543</f>
        <v>118.8488</v>
      </c>
      <c r="L543" s="39" t="s">
        <v>2562</v>
      </c>
    </row>
    <row r="544" spans="1:12">
      <c r="A544" s="36" t="s">
        <v>2561</v>
      </c>
      <c r="B544" s="36" t="str">
        <f>"053009"</f>
        <v>053009</v>
      </c>
      <c r="C544" s="36" t="s">
        <v>2762</v>
      </c>
      <c r="D544" s="44">
        <v>162</v>
      </c>
      <c r="E544" s="44">
        <v>0</v>
      </c>
      <c r="F544" s="44">
        <f>'NonPublic Enrollment'!$E544*0.1</f>
        <v>0</v>
      </c>
      <c r="G544" s="44">
        <v>11</v>
      </c>
      <c r="H544" s="44">
        <f>'NonPublic Enrollment'!$G544*0.7374</f>
        <v>8.1113999999999997</v>
      </c>
      <c r="I544" s="44">
        <v>0</v>
      </c>
      <c r="J544" s="44">
        <f>'NonPublic Enrollment'!$I544*0.2906</f>
        <v>0</v>
      </c>
      <c r="K544" s="44">
        <f>'NonPublic Enrollment'!$D544+'NonPublic Enrollment'!$F544+'NonPublic Enrollment'!$H544+'NonPublic Enrollment'!$J544</f>
        <v>170.1114</v>
      </c>
      <c r="L544" s="37" t="s">
        <v>2562</v>
      </c>
    </row>
    <row r="545" spans="1:12">
      <c r="A545" s="38" t="s">
        <v>2561</v>
      </c>
      <c r="B545" s="38" t="str">
        <f>"092247"</f>
        <v>092247</v>
      </c>
      <c r="C545" s="38" t="s">
        <v>2761</v>
      </c>
      <c r="D545" s="45">
        <v>108</v>
      </c>
      <c r="E545" s="45">
        <v>0</v>
      </c>
      <c r="F545" s="45">
        <f>'NonPublic Enrollment'!$E545*0.1</f>
        <v>0</v>
      </c>
      <c r="G545" s="45">
        <v>11</v>
      </c>
      <c r="H545" s="45">
        <f>'NonPublic Enrollment'!$G545*0.7374</f>
        <v>8.1113999999999997</v>
      </c>
      <c r="I545" s="45">
        <v>0</v>
      </c>
      <c r="J545" s="45">
        <f>'NonPublic Enrollment'!$I545*0.2906</f>
        <v>0</v>
      </c>
      <c r="K545" s="45">
        <f>'NonPublic Enrollment'!$D545+'NonPublic Enrollment'!$F545+'NonPublic Enrollment'!$H545+'NonPublic Enrollment'!$J545</f>
        <v>116.1114</v>
      </c>
      <c r="L545" s="39" t="s">
        <v>2562</v>
      </c>
    </row>
    <row r="546" spans="1:12">
      <c r="A546" s="36" t="s">
        <v>2561</v>
      </c>
      <c r="B546" s="36" t="str">
        <f>"134387"</f>
        <v>134387</v>
      </c>
      <c r="C546" s="36" t="s">
        <v>2760</v>
      </c>
      <c r="D546" s="44">
        <v>140</v>
      </c>
      <c r="E546" s="44">
        <v>0</v>
      </c>
      <c r="F546" s="44">
        <f>'NonPublic Enrollment'!$E546*0.1</f>
        <v>0</v>
      </c>
      <c r="G546" s="44">
        <v>11</v>
      </c>
      <c r="H546" s="44">
        <f>'NonPublic Enrollment'!$G546*0.7374</f>
        <v>8.1113999999999997</v>
      </c>
      <c r="I546" s="44">
        <v>0</v>
      </c>
      <c r="J546" s="44">
        <f>'NonPublic Enrollment'!$I546*0.2906</f>
        <v>0</v>
      </c>
      <c r="K546" s="44">
        <f>'NonPublic Enrollment'!$D546+'NonPublic Enrollment'!$F546+'NonPublic Enrollment'!$H546+'NonPublic Enrollment'!$J546</f>
        <v>148.1114</v>
      </c>
      <c r="L546" s="37" t="s">
        <v>2572</v>
      </c>
    </row>
    <row r="547" spans="1:12">
      <c r="A547" s="38" t="s">
        <v>2561</v>
      </c>
      <c r="B547" s="38" t="str">
        <f>"056580"</f>
        <v>056580</v>
      </c>
      <c r="C547" s="38" t="s">
        <v>2759</v>
      </c>
      <c r="D547" s="45">
        <v>319</v>
      </c>
      <c r="E547" s="45">
        <v>5</v>
      </c>
      <c r="F547" s="45">
        <f>'NonPublic Enrollment'!$E547*0.1</f>
        <v>0.5</v>
      </c>
      <c r="G547" s="45">
        <v>11</v>
      </c>
      <c r="H547" s="45">
        <f>'NonPublic Enrollment'!$G547*0.7374</f>
        <v>8.1113999999999997</v>
      </c>
      <c r="I547" s="45">
        <v>0</v>
      </c>
      <c r="J547" s="45">
        <f>'NonPublic Enrollment'!$I547*0.2906</f>
        <v>0</v>
      </c>
      <c r="K547" s="45">
        <f>'NonPublic Enrollment'!$D547+'NonPublic Enrollment'!$F547+'NonPublic Enrollment'!$H547+'NonPublic Enrollment'!$J547</f>
        <v>327.6114</v>
      </c>
      <c r="L547" s="39" t="s">
        <v>2562</v>
      </c>
    </row>
    <row r="548" spans="1:12">
      <c r="A548" s="36" t="s">
        <v>2561</v>
      </c>
      <c r="B548" s="36" t="str">
        <f>"058651"</f>
        <v>058651</v>
      </c>
      <c r="C548" s="36" t="s">
        <v>2758</v>
      </c>
      <c r="D548" s="44">
        <v>166</v>
      </c>
      <c r="E548" s="44">
        <v>9</v>
      </c>
      <c r="F548" s="44">
        <f>'NonPublic Enrollment'!$E548*0.1</f>
        <v>0.9</v>
      </c>
      <c r="G548" s="44">
        <v>11</v>
      </c>
      <c r="H548" s="44">
        <f>'NonPublic Enrollment'!$G548*0.7374</f>
        <v>8.1113999999999997</v>
      </c>
      <c r="I548" s="44">
        <v>0</v>
      </c>
      <c r="J548" s="44">
        <f>'NonPublic Enrollment'!$I548*0.2906</f>
        <v>0</v>
      </c>
      <c r="K548" s="44">
        <f>'NonPublic Enrollment'!$D548+'NonPublic Enrollment'!$F548+'NonPublic Enrollment'!$H548+'NonPublic Enrollment'!$J548</f>
        <v>175.01140000000001</v>
      </c>
      <c r="L548" s="37" t="s">
        <v>2591</v>
      </c>
    </row>
    <row r="549" spans="1:12">
      <c r="A549" s="38" t="s">
        <v>2561</v>
      </c>
      <c r="B549" s="38" t="str">
        <f>"058826"</f>
        <v>058826</v>
      </c>
      <c r="C549" s="38" t="s">
        <v>2757</v>
      </c>
      <c r="D549" s="45">
        <v>95</v>
      </c>
      <c r="E549" s="45">
        <v>9</v>
      </c>
      <c r="F549" s="45">
        <f>'NonPublic Enrollment'!$E549*0.1</f>
        <v>0.9</v>
      </c>
      <c r="G549" s="45">
        <v>11</v>
      </c>
      <c r="H549" s="45">
        <f>'NonPublic Enrollment'!$G549*0.7374</f>
        <v>8.1113999999999997</v>
      </c>
      <c r="I549" s="45">
        <v>0</v>
      </c>
      <c r="J549" s="45">
        <f>'NonPublic Enrollment'!$I549*0.2906</f>
        <v>0</v>
      </c>
      <c r="K549" s="45">
        <f>'NonPublic Enrollment'!$D549+'NonPublic Enrollment'!$F549+'NonPublic Enrollment'!$H549+'NonPublic Enrollment'!$J549</f>
        <v>104.01140000000001</v>
      </c>
      <c r="L549" s="39" t="s">
        <v>2591</v>
      </c>
    </row>
    <row r="550" spans="1:12">
      <c r="A550" s="36" t="s">
        <v>2561</v>
      </c>
      <c r="B550" s="36" t="str">
        <f>"056606"</f>
        <v>056606</v>
      </c>
      <c r="C550" s="36" t="s">
        <v>2756</v>
      </c>
      <c r="D550" s="44">
        <v>234</v>
      </c>
      <c r="E550" s="44">
        <v>17</v>
      </c>
      <c r="F550" s="44">
        <f>'NonPublic Enrollment'!$E550*0.1</f>
        <v>1.7000000000000002</v>
      </c>
      <c r="G550" s="44">
        <v>11</v>
      </c>
      <c r="H550" s="44">
        <f>'NonPublic Enrollment'!$G550*0.7374</f>
        <v>8.1113999999999997</v>
      </c>
      <c r="I550" s="44">
        <v>0</v>
      </c>
      <c r="J550" s="44">
        <f>'NonPublic Enrollment'!$I550*0.2906</f>
        <v>0</v>
      </c>
      <c r="K550" s="44">
        <f>'NonPublic Enrollment'!$D550+'NonPublic Enrollment'!$F550+'NonPublic Enrollment'!$H550+'NonPublic Enrollment'!$J550</f>
        <v>243.81139999999999</v>
      </c>
      <c r="L550" s="37" t="s">
        <v>2586</v>
      </c>
    </row>
    <row r="551" spans="1:12">
      <c r="A551" s="38" t="s">
        <v>2561</v>
      </c>
      <c r="B551" s="38" t="str">
        <f>"060426"</f>
        <v>060426</v>
      </c>
      <c r="C551" s="38" t="s">
        <v>2619</v>
      </c>
      <c r="D551" s="45">
        <v>164</v>
      </c>
      <c r="E551" s="45">
        <v>17</v>
      </c>
      <c r="F551" s="45">
        <f>'NonPublic Enrollment'!$E551*0.1</f>
        <v>1.7000000000000002</v>
      </c>
      <c r="G551" s="45">
        <v>11</v>
      </c>
      <c r="H551" s="45">
        <f>'NonPublic Enrollment'!$G551*0.7374</f>
        <v>8.1113999999999997</v>
      </c>
      <c r="I551" s="45">
        <v>0</v>
      </c>
      <c r="J551" s="45">
        <f>'NonPublic Enrollment'!$I551*0.2906</f>
        <v>0</v>
      </c>
      <c r="K551" s="45">
        <f>'NonPublic Enrollment'!$D551+'NonPublic Enrollment'!$F551+'NonPublic Enrollment'!$H551+'NonPublic Enrollment'!$J551</f>
        <v>173.81139999999999</v>
      </c>
      <c r="L551" s="39" t="s">
        <v>2562</v>
      </c>
    </row>
    <row r="552" spans="1:12">
      <c r="A552" s="36" t="s">
        <v>2561</v>
      </c>
      <c r="B552" s="36" t="str">
        <f>"053082"</f>
        <v>053082</v>
      </c>
      <c r="C552" s="36" t="s">
        <v>2755</v>
      </c>
      <c r="D552" s="44">
        <v>163</v>
      </c>
      <c r="E552" s="44">
        <v>24</v>
      </c>
      <c r="F552" s="44">
        <f>'NonPublic Enrollment'!$E552*0.1</f>
        <v>2.4000000000000004</v>
      </c>
      <c r="G552" s="44">
        <v>11</v>
      </c>
      <c r="H552" s="44">
        <f>'NonPublic Enrollment'!$G552*0.7374</f>
        <v>8.1113999999999997</v>
      </c>
      <c r="I552" s="44">
        <v>0</v>
      </c>
      <c r="J552" s="44">
        <f>'NonPublic Enrollment'!$I552*0.2906</f>
        <v>0</v>
      </c>
      <c r="K552" s="44">
        <f>'NonPublic Enrollment'!$D552+'NonPublic Enrollment'!$F552+'NonPublic Enrollment'!$H552+'NonPublic Enrollment'!$J552</f>
        <v>173.51140000000001</v>
      </c>
      <c r="L552" s="37" t="s">
        <v>2562</v>
      </c>
    </row>
    <row r="553" spans="1:12">
      <c r="A553" s="38" t="s">
        <v>2561</v>
      </c>
      <c r="B553" s="38" t="str">
        <f>"057448"</f>
        <v>057448</v>
      </c>
      <c r="C553" s="38" t="s">
        <v>2754</v>
      </c>
      <c r="D553" s="45">
        <v>184</v>
      </c>
      <c r="E553" s="45">
        <v>29</v>
      </c>
      <c r="F553" s="45">
        <f>'NonPublic Enrollment'!$E553*0.1</f>
        <v>2.9000000000000004</v>
      </c>
      <c r="G553" s="45">
        <v>11</v>
      </c>
      <c r="H553" s="45">
        <f>'NonPublic Enrollment'!$G553*0.7374</f>
        <v>8.1113999999999997</v>
      </c>
      <c r="I553" s="45">
        <v>0</v>
      </c>
      <c r="J553" s="45">
        <f>'NonPublic Enrollment'!$I553*0.2906</f>
        <v>0</v>
      </c>
      <c r="K553" s="45">
        <f>'NonPublic Enrollment'!$D553+'NonPublic Enrollment'!$F553+'NonPublic Enrollment'!$H553+'NonPublic Enrollment'!$J553</f>
        <v>195.01140000000001</v>
      </c>
      <c r="L553" s="39" t="s">
        <v>2586</v>
      </c>
    </row>
    <row r="554" spans="1:12">
      <c r="A554" s="36" t="s">
        <v>2561</v>
      </c>
      <c r="B554" s="36" t="str">
        <f>"058628"</f>
        <v>058628</v>
      </c>
      <c r="C554" s="36" t="s">
        <v>2689</v>
      </c>
      <c r="D554" s="44">
        <v>66</v>
      </c>
      <c r="E554" s="44">
        <v>38</v>
      </c>
      <c r="F554" s="44">
        <f>'NonPublic Enrollment'!$E554*0.1</f>
        <v>3.8000000000000003</v>
      </c>
      <c r="G554" s="44">
        <v>11</v>
      </c>
      <c r="H554" s="44">
        <f>'NonPublic Enrollment'!$G554*0.7374</f>
        <v>8.1113999999999997</v>
      </c>
      <c r="I554" s="44">
        <v>0</v>
      </c>
      <c r="J554" s="44">
        <f>'NonPublic Enrollment'!$I554*0.2906</f>
        <v>0</v>
      </c>
      <c r="K554" s="44">
        <f>'NonPublic Enrollment'!$D554+'NonPublic Enrollment'!$F554+'NonPublic Enrollment'!$H554+'NonPublic Enrollment'!$J554</f>
        <v>77.9114</v>
      </c>
      <c r="L554" s="37" t="s">
        <v>2562</v>
      </c>
    </row>
    <row r="555" spans="1:12">
      <c r="A555" s="38" t="s">
        <v>2561</v>
      </c>
      <c r="B555" s="38" t="str">
        <f>"134338"</f>
        <v>134338</v>
      </c>
      <c r="C555" s="38" t="s">
        <v>2753</v>
      </c>
      <c r="D555" s="45">
        <v>233</v>
      </c>
      <c r="E555" s="45">
        <v>40</v>
      </c>
      <c r="F555" s="45">
        <f>'NonPublic Enrollment'!$E555*0.1</f>
        <v>4</v>
      </c>
      <c r="G555" s="45">
        <v>11</v>
      </c>
      <c r="H555" s="45">
        <f>'NonPublic Enrollment'!$G555*0.7374</f>
        <v>8.1113999999999997</v>
      </c>
      <c r="I555" s="45">
        <v>0</v>
      </c>
      <c r="J555" s="45">
        <f>'NonPublic Enrollment'!$I555*0.2906</f>
        <v>0</v>
      </c>
      <c r="K555" s="45">
        <f>'NonPublic Enrollment'!$D555+'NonPublic Enrollment'!$F555+'NonPublic Enrollment'!$H555+'NonPublic Enrollment'!$J555</f>
        <v>245.1114</v>
      </c>
      <c r="L555" s="39" t="s">
        <v>2569</v>
      </c>
    </row>
    <row r="556" spans="1:12">
      <c r="A556" s="36" t="s">
        <v>2561</v>
      </c>
      <c r="B556" s="36" t="str">
        <f>"009453"</f>
        <v>009453</v>
      </c>
      <c r="C556" s="36" t="s">
        <v>2752</v>
      </c>
      <c r="D556" s="44">
        <v>151</v>
      </c>
      <c r="E556" s="44">
        <v>70</v>
      </c>
      <c r="F556" s="44">
        <f>'NonPublic Enrollment'!$E556*0.1</f>
        <v>7</v>
      </c>
      <c r="G556" s="44">
        <v>11</v>
      </c>
      <c r="H556" s="44">
        <f>'NonPublic Enrollment'!$G556*0.7374</f>
        <v>8.1113999999999997</v>
      </c>
      <c r="I556" s="44">
        <v>0</v>
      </c>
      <c r="J556" s="44">
        <f>'NonPublic Enrollment'!$I556*0.2906</f>
        <v>0</v>
      </c>
      <c r="K556" s="44">
        <f>'NonPublic Enrollment'!$D556+'NonPublic Enrollment'!$F556+'NonPublic Enrollment'!$H556+'NonPublic Enrollment'!$J556</f>
        <v>166.1114</v>
      </c>
      <c r="L556" s="37" t="s">
        <v>2591</v>
      </c>
    </row>
    <row r="557" spans="1:12">
      <c r="A557" s="38" t="s">
        <v>2561</v>
      </c>
      <c r="B557" s="38" t="str">
        <f>"057307"</f>
        <v>057307</v>
      </c>
      <c r="C557" s="38" t="s">
        <v>2689</v>
      </c>
      <c r="D557" s="45">
        <v>136</v>
      </c>
      <c r="E557" s="45">
        <v>77</v>
      </c>
      <c r="F557" s="45">
        <f>'NonPublic Enrollment'!$E557*0.1</f>
        <v>7.7</v>
      </c>
      <c r="G557" s="45">
        <v>11</v>
      </c>
      <c r="H557" s="45">
        <f>'NonPublic Enrollment'!$G557*0.7374</f>
        <v>8.1113999999999997</v>
      </c>
      <c r="I557" s="45">
        <v>0</v>
      </c>
      <c r="J557" s="45">
        <f>'NonPublic Enrollment'!$I557*0.2906</f>
        <v>0</v>
      </c>
      <c r="K557" s="45">
        <f>'NonPublic Enrollment'!$D557+'NonPublic Enrollment'!$F557+'NonPublic Enrollment'!$H557+'NonPublic Enrollment'!$J557</f>
        <v>151.81139999999999</v>
      </c>
      <c r="L557" s="39" t="s">
        <v>2586</v>
      </c>
    </row>
    <row r="558" spans="1:12">
      <c r="A558" s="36" t="s">
        <v>2561</v>
      </c>
      <c r="B558" s="36" t="str">
        <f>"143081"</f>
        <v>143081</v>
      </c>
      <c r="C558" s="36" t="s">
        <v>2751</v>
      </c>
      <c r="D558" s="44">
        <v>198</v>
      </c>
      <c r="E558" s="44">
        <v>80</v>
      </c>
      <c r="F558" s="44">
        <f>'NonPublic Enrollment'!$E558*0.1</f>
        <v>8</v>
      </c>
      <c r="G558" s="44">
        <v>11</v>
      </c>
      <c r="H558" s="44">
        <f>'NonPublic Enrollment'!$G558*0.7374</f>
        <v>8.1113999999999997</v>
      </c>
      <c r="I558" s="44">
        <v>0</v>
      </c>
      <c r="J558" s="44">
        <f>'NonPublic Enrollment'!$I558*0.2906</f>
        <v>0</v>
      </c>
      <c r="K558" s="44">
        <f>'NonPublic Enrollment'!$D558+'NonPublic Enrollment'!$F558+'NonPublic Enrollment'!$H558+'NonPublic Enrollment'!$J558</f>
        <v>214.1114</v>
      </c>
      <c r="L558" s="37" t="s">
        <v>2562</v>
      </c>
    </row>
    <row r="559" spans="1:12">
      <c r="A559" s="38" t="s">
        <v>2561</v>
      </c>
      <c r="B559" s="38" t="str">
        <f>"132282"</f>
        <v>132282</v>
      </c>
      <c r="C559" s="38" t="s">
        <v>2750</v>
      </c>
      <c r="D559" s="45">
        <v>148</v>
      </c>
      <c r="E559" s="45">
        <v>0</v>
      </c>
      <c r="F559" s="45">
        <f>'NonPublic Enrollment'!$E559*0.1</f>
        <v>0</v>
      </c>
      <c r="G559" s="45">
        <v>11</v>
      </c>
      <c r="H559" s="45">
        <f>'NonPublic Enrollment'!$G559*0.7374</f>
        <v>8.1113999999999997</v>
      </c>
      <c r="I559" s="45">
        <v>0</v>
      </c>
      <c r="J559" s="45">
        <f>'NonPublic Enrollment'!$I559*0.2906</f>
        <v>0</v>
      </c>
      <c r="K559" s="45">
        <f>'NonPublic Enrollment'!$D559+'NonPublic Enrollment'!$F559+'NonPublic Enrollment'!$H559+'NonPublic Enrollment'!$J559</f>
        <v>156.1114</v>
      </c>
      <c r="L559" s="39" t="s">
        <v>2562</v>
      </c>
    </row>
    <row r="560" spans="1:12">
      <c r="A560" s="36" t="s">
        <v>2561</v>
      </c>
      <c r="B560" s="36" t="str">
        <f>"132647"</f>
        <v>132647</v>
      </c>
      <c r="C560" s="36" t="s">
        <v>2749</v>
      </c>
      <c r="D560" s="44">
        <v>136</v>
      </c>
      <c r="E560" s="44">
        <v>0</v>
      </c>
      <c r="F560" s="44">
        <f>'NonPublic Enrollment'!$E560*0.1</f>
        <v>0</v>
      </c>
      <c r="G560" s="44">
        <v>10</v>
      </c>
      <c r="H560" s="44">
        <f>'NonPublic Enrollment'!$G560*0.7374</f>
        <v>7.3740000000000006</v>
      </c>
      <c r="I560" s="44">
        <v>0</v>
      </c>
      <c r="J560" s="44">
        <f>'NonPublic Enrollment'!$I560*0.2906</f>
        <v>0</v>
      </c>
      <c r="K560" s="44">
        <f>'NonPublic Enrollment'!$D560+'NonPublic Enrollment'!$F560+'NonPublic Enrollment'!$H560+'NonPublic Enrollment'!$J560</f>
        <v>143.374</v>
      </c>
      <c r="L560" s="37" t="s">
        <v>2591</v>
      </c>
    </row>
    <row r="561" spans="1:12">
      <c r="A561" s="38" t="s">
        <v>2561</v>
      </c>
      <c r="B561" s="38" t="str">
        <f>"057224"</f>
        <v>057224</v>
      </c>
      <c r="C561" s="38" t="s">
        <v>2689</v>
      </c>
      <c r="D561" s="45">
        <v>159</v>
      </c>
      <c r="E561" s="45">
        <v>1</v>
      </c>
      <c r="F561" s="45">
        <f>'NonPublic Enrollment'!$E561*0.1</f>
        <v>0.1</v>
      </c>
      <c r="G561" s="45">
        <v>10</v>
      </c>
      <c r="H561" s="45">
        <f>'NonPublic Enrollment'!$G561*0.7374</f>
        <v>7.3740000000000006</v>
      </c>
      <c r="I561" s="45">
        <v>0</v>
      </c>
      <c r="J561" s="45">
        <f>'NonPublic Enrollment'!$I561*0.2906</f>
        <v>0</v>
      </c>
      <c r="K561" s="45">
        <f>'NonPublic Enrollment'!$D561+'NonPublic Enrollment'!$F561+'NonPublic Enrollment'!$H561+'NonPublic Enrollment'!$J561</f>
        <v>166.47399999999999</v>
      </c>
      <c r="L561" s="39" t="s">
        <v>2586</v>
      </c>
    </row>
    <row r="562" spans="1:12">
      <c r="A562" s="36" t="s">
        <v>2561</v>
      </c>
      <c r="B562" s="36" t="str">
        <f>"126599"</f>
        <v>126599</v>
      </c>
      <c r="C562" s="36" t="s">
        <v>2748</v>
      </c>
      <c r="D562" s="44">
        <v>423</v>
      </c>
      <c r="E562" s="44">
        <v>6</v>
      </c>
      <c r="F562" s="44">
        <f>'NonPublic Enrollment'!$E562*0.1</f>
        <v>0.60000000000000009</v>
      </c>
      <c r="G562" s="44">
        <v>10</v>
      </c>
      <c r="H562" s="44">
        <f>'NonPublic Enrollment'!$G562*0.7374</f>
        <v>7.3740000000000006</v>
      </c>
      <c r="I562" s="44">
        <v>0</v>
      </c>
      <c r="J562" s="44">
        <f>'NonPublic Enrollment'!$I562*0.2906</f>
        <v>0</v>
      </c>
      <c r="K562" s="44">
        <f>'NonPublic Enrollment'!$D562+'NonPublic Enrollment'!$F562+'NonPublic Enrollment'!$H562+'NonPublic Enrollment'!$J562</f>
        <v>430.97400000000005</v>
      </c>
      <c r="L562" s="37" t="s">
        <v>2586</v>
      </c>
    </row>
    <row r="563" spans="1:12">
      <c r="A563" s="38" t="s">
        <v>2561</v>
      </c>
      <c r="B563" s="38" t="str">
        <f>"054205"</f>
        <v>054205</v>
      </c>
      <c r="C563" s="38" t="s">
        <v>2747</v>
      </c>
      <c r="D563" s="45">
        <v>497</v>
      </c>
      <c r="E563" s="45">
        <v>7</v>
      </c>
      <c r="F563" s="45">
        <f>'NonPublic Enrollment'!$E563*0.1</f>
        <v>0.70000000000000007</v>
      </c>
      <c r="G563" s="45">
        <v>10</v>
      </c>
      <c r="H563" s="45">
        <f>'NonPublic Enrollment'!$G563*0.7374</f>
        <v>7.3740000000000006</v>
      </c>
      <c r="I563" s="45">
        <v>0</v>
      </c>
      <c r="J563" s="45">
        <f>'NonPublic Enrollment'!$I563*0.2906</f>
        <v>0</v>
      </c>
      <c r="K563" s="45">
        <f>'NonPublic Enrollment'!$D563+'NonPublic Enrollment'!$F563+'NonPublic Enrollment'!$H563+'NonPublic Enrollment'!$J563</f>
        <v>505.07400000000001</v>
      </c>
      <c r="L563" s="39" t="s">
        <v>2591</v>
      </c>
    </row>
    <row r="564" spans="1:12">
      <c r="A564" s="36" t="s">
        <v>2561</v>
      </c>
      <c r="B564" s="36" t="str">
        <f>"059337"</f>
        <v>059337</v>
      </c>
      <c r="C564" s="36" t="s">
        <v>2702</v>
      </c>
      <c r="D564" s="44">
        <v>82</v>
      </c>
      <c r="E564" s="44">
        <v>10</v>
      </c>
      <c r="F564" s="44">
        <f>'NonPublic Enrollment'!$E564*0.1</f>
        <v>1</v>
      </c>
      <c r="G564" s="44">
        <v>10</v>
      </c>
      <c r="H564" s="44">
        <f>'NonPublic Enrollment'!$G564*0.7374</f>
        <v>7.3740000000000006</v>
      </c>
      <c r="I564" s="44">
        <v>0</v>
      </c>
      <c r="J564" s="44">
        <f>'NonPublic Enrollment'!$I564*0.2906</f>
        <v>0</v>
      </c>
      <c r="K564" s="44">
        <f>'NonPublic Enrollment'!$D564+'NonPublic Enrollment'!$F564+'NonPublic Enrollment'!$H564+'NonPublic Enrollment'!$J564</f>
        <v>90.373999999999995</v>
      </c>
      <c r="L564" s="37" t="s">
        <v>2582</v>
      </c>
    </row>
    <row r="565" spans="1:12">
      <c r="A565" s="38" t="s">
        <v>2561</v>
      </c>
      <c r="B565" s="38" t="str">
        <f>"068056"</f>
        <v>068056</v>
      </c>
      <c r="C565" s="38" t="s">
        <v>2746</v>
      </c>
      <c r="D565" s="45">
        <v>361</v>
      </c>
      <c r="E565" s="45">
        <v>11</v>
      </c>
      <c r="F565" s="45">
        <f>'NonPublic Enrollment'!$E565*0.1</f>
        <v>1.1000000000000001</v>
      </c>
      <c r="G565" s="45">
        <v>10</v>
      </c>
      <c r="H565" s="45">
        <f>'NonPublic Enrollment'!$G565*0.7374</f>
        <v>7.3740000000000006</v>
      </c>
      <c r="I565" s="45">
        <v>0</v>
      </c>
      <c r="J565" s="45">
        <f>'NonPublic Enrollment'!$I565*0.2906</f>
        <v>0</v>
      </c>
      <c r="K565" s="45">
        <f>'NonPublic Enrollment'!$D565+'NonPublic Enrollment'!$F565+'NonPublic Enrollment'!$H565+'NonPublic Enrollment'!$J565</f>
        <v>369.47400000000005</v>
      </c>
      <c r="L565" s="39" t="s">
        <v>2562</v>
      </c>
    </row>
    <row r="566" spans="1:12">
      <c r="A566" s="36" t="s">
        <v>2561</v>
      </c>
      <c r="B566" s="36" t="str">
        <f>"056598"</f>
        <v>056598</v>
      </c>
      <c r="C566" s="36" t="s">
        <v>2745</v>
      </c>
      <c r="D566" s="44">
        <v>332</v>
      </c>
      <c r="E566" s="44">
        <v>14</v>
      </c>
      <c r="F566" s="44">
        <f>'NonPublic Enrollment'!$E566*0.1</f>
        <v>1.4000000000000001</v>
      </c>
      <c r="G566" s="44">
        <v>10</v>
      </c>
      <c r="H566" s="44">
        <f>'NonPublic Enrollment'!$G566*0.7374</f>
        <v>7.3740000000000006</v>
      </c>
      <c r="I566" s="44">
        <v>0</v>
      </c>
      <c r="J566" s="44">
        <f>'NonPublic Enrollment'!$I566*0.2906</f>
        <v>0</v>
      </c>
      <c r="K566" s="44">
        <f>'NonPublic Enrollment'!$D566+'NonPublic Enrollment'!$F566+'NonPublic Enrollment'!$H566+'NonPublic Enrollment'!$J566</f>
        <v>340.774</v>
      </c>
      <c r="L566" s="37" t="s">
        <v>2569</v>
      </c>
    </row>
    <row r="567" spans="1:12">
      <c r="A567" s="38" t="s">
        <v>2561</v>
      </c>
      <c r="B567" s="38" t="str">
        <f>"059287"</f>
        <v>059287</v>
      </c>
      <c r="C567" s="38" t="s">
        <v>2689</v>
      </c>
      <c r="D567" s="45">
        <v>88</v>
      </c>
      <c r="E567" s="45">
        <v>14</v>
      </c>
      <c r="F567" s="45">
        <f>'NonPublic Enrollment'!$E567*0.1</f>
        <v>1.4000000000000001</v>
      </c>
      <c r="G567" s="45">
        <v>10</v>
      </c>
      <c r="H567" s="45">
        <f>'NonPublic Enrollment'!$G567*0.7374</f>
        <v>7.3740000000000006</v>
      </c>
      <c r="I567" s="45">
        <v>0</v>
      </c>
      <c r="J567" s="45">
        <f>'NonPublic Enrollment'!$I567*0.2906</f>
        <v>0</v>
      </c>
      <c r="K567" s="45">
        <f>'NonPublic Enrollment'!$D567+'NonPublic Enrollment'!$F567+'NonPublic Enrollment'!$H567+'NonPublic Enrollment'!$J567</f>
        <v>96.774000000000001</v>
      </c>
      <c r="L567" s="39" t="s">
        <v>2591</v>
      </c>
    </row>
    <row r="568" spans="1:12">
      <c r="A568" s="36" t="s">
        <v>2561</v>
      </c>
      <c r="B568" s="36" t="str">
        <f>"058552"</f>
        <v>058552</v>
      </c>
      <c r="C568" s="36" t="s">
        <v>2671</v>
      </c>
      <c r="D568" s="44">
        <v>127</v>
      </c>
      <c r="E568" s="44">
        <v>18</v>
      </c>
      <c r="F568" s="44">
        <f>'NonPublic Enrollment'!$E568*0.1</f>
        <v>1.8</v>
      </c>
      <c r="G568" s="44">
        <v>10</v>
      </c>
      <c r="H568" s="44">
        <f>'NonPublic Enrollment'!$G568*0.7374</f>
        <v>7.3740000000000006</v>
      </c>
      <c r="I568" s="44">
        <v>0</v>
      </c>
      <c r="J568" s="44">
        <f>'NonPublic Enrollment'!$I568*0.2906</f>
        <v>0</v>
      </c>
      <c r="K568" s="44">
        <f>'NonPublic Enrollment'!$D568+'NonPublic Enrollment'!$F568+'NonPublic Enrollment'!$H568+'NonPublic Enrollment'!$J568</f>
        <v>136.17400000000001</v>
      </c>
      <c r="L568" s="37" t="s">
        <v>2591</v>
      </c>
    </row>
    <row r="569" spans="1:12">
      <c r="A569" s="38" t="s">
        <v>2561</v>
      </c>
      <c r="B569" s="38" t="str">
        <f>"060491"</f>
        <v>060491</v>
      </c>
      <c r="C569" s="38" t="s">
        <v>2590</v>
      </c>
      <c r="D569" s="45">
        <v>157</v>
      </c>
      <c r="E569" s="45">
        <v>20</v>
      </c>
      <c r="F569" s="45">
        <f>'NonPublic Enrollment'!$E569*0.1</f>
        <v>2</v>
      </c>
      <c r="G569" s="45">
        <v>10</v>
      </c>
      <c r="H569" s="45">
        <f>'NonPublic Enrollment'!$G569*0.7374</f>
        <v>7.3740000000000006</v>
      </c>
      <c r="I569" s="45">
        <v>0</v>
      </c>
      <c r="J569" s="45">
        <f>'NonPublic Enrollment'!$I569*0.2906</f>
        <v>0</v>
      </c>
      <c r="K569" s="45">
        <f>'NonPublic Enrollment'!$D569+'NonPublic Enrollment'!$F569+'NonPublic Enrollment'!$H569+'NonPublic Enrollment'!$J569</f>
        <v>166.374</v>
      </c>
      <c r="L569" s="39" t="s">
        <v>2562</v>
      </c>
    </row>
    <row r="570" spans="1:12">
      <c r="A570" s="36" t="s">
        <v>2561</v>
      </c>
      <c r="B570" s="36" t="str">
        <f>"054312"</f>
        <v>054312</v>
      </c>
      <c r="C570" s="36" t="s">
        <v>2744</v>
      </c>
      <c r="D570" s="44">
        <v>245</v>
      </c>
      <c r="E570" s="44">
        <v>26</v>
      </c>
      <c r="F570" s="44">
        <f>'NonPublic Enrollment'!$E570*0.1</f>
        <v>2.6</v>
      </c>
      <c r="G570" s="44">
        <v>10</v>
      </c>
      <c r="H570" s="44">
        <f>'NonPublic Enrollment'!$G570*0.7374</f>
        <v>7.3740000000000006</v>
      </c>
      <c r="I570" s="44">
        <v>0</v>
      </c>
      <c r="J570" s="44">
        <f>'NonPublic Enrollment'!$I570*0.2906</f>
        <v>0</v>
      </c>
      <c r="K570" s="44">
        <f>'NonPublic Enrollment'!$D570+'NonPublic Enrollment'!$F570+'NonPublic Enrollment'!$H570+'NonPublic Enrollment'!$J570</f>
        <v>254.97399999999999</v>
      </c>
      <c r="L570" s="37" t="s">
        <v>2591</v>
      </c>
    </row>
    <row r="571" spans="1:12">
      <c r="A571" s="38" t="s">
        <v>2561</v>
      </c>
      <c r="B571" s="38" t="str">
        <f>"059865"</f>
        <v>059865</v>
      </c>
      <c r="C571" s="38" t="s">
        <v>2743</v>
      </c>
      <c r="D571" s="45">
        <v>63</v>
      </c>
      <c r="E571" s="45">
        <v>33</v>
      </c>
      <c r="F571" s="45">
        <f>'NonPublic Enrollment'!$E571*0.1</f>
        <v>3.3000000000000003</v>
      </c>
      <c r="G571" s="45">
        <v>10</v>
      </c>
      <c r="H571" s="45">
        <f>'NonPublic Enrollment'!$G571*0.7374</f>
        <v>7.3740000000000006</v>
      </c>
      <c r="I571" s="45">
        <v>0</v>
      </c>
      <c r="J571" s="45">
        <f>'NonPublic Enrollment'!$I571*0.2906</f>
        <v>0</v>
      </c>
      <c r="K571" s="45">
        <f>'NonPublic Enrollment'!$D571+'NonPublic Enrollment'!$F571+'NonPublic Enrollment'!$H571+'NonPublic Enrollment'!$J571</f>
        <v>73.673999999999992</v>
      </c>
      <c r="L571" s="39" t="s">
        <v>2562</v>
      </c>
    </row>
    <row r="572" spans="1:12">
      <c r="A572" s="36" t="s">
        <v>2561</v>
      </c>
      <c r="B572" s="36" t="str">
        <f>"055590"</f>
        <v>055590</v>
      </c>
      <c r="C572" s="36" t="s">
        <v>2742</v>
      </c>
      <c r="D572" s="44">
        <v>212</v>
      </c>
      <c r="E572" s="44">
        <v>34</v>
      </c>
      <c r="F572" s="44">
        <f>'NonPublic Enrollment'!$E572*0.1</f>
        <v>3.4000000000000004</v>
      </c>
      <c r="G572" s="44">
        <v>10</v>
      </c>
      <c r="H572" s="44">
        <f>'NonPublic Enrollment'!$G572*0.7374</f>
        <v>7.3740000000000006</v>
      </c>
      <c r="I572" s="44">
        <v>0</v>
      </c>
      <c r="J572" s="44">
        <f>'NonPublic Enrollment'!$I572*0.2906</f>
        <v>0</v>
      </c>
      <c r="K572" s="44">
        <f>'NonPublic Enrollment'!$D572+'NonPublic Enrollment'!$F572+'NonPublic Enrollment'!$H572+'NonPublic Enrollment'!$J572</f>
        <v>222.774</v>
      </c>
      <c r="L572" s="37" t="s">
        <v>2562</v>
      </c>
    </row>
    <row r="573" spans="1:12">
      <c r="A573" s="38" t="s">
        <v>2561</v>
      </c>
      <c r="B573" s="38" t="str">
        <f>"059204"</f>
        <v>059204</v>
      </c>
      <c r="C573" s="38" t="s">
        <v>2741</v>
      </c>
      <c r="D573" s="45">
        <v>67</v>
      </c>
      <c r="E573" s="45">
        <v>34</v>
      </c>
      <c r="F573" s="45">
        <f>'NonPublic Enrollment'!$E573*0.1</f>
        <v>3.4000000000000004</v>
      </c>
      <c r="G573" s="45">
        <v>10</v>
      </c>
      <c r="H573" s="45">
        <f>'NonPublic Enrollment'!$G573*0.7374</f>
        <v>7.3740000000000006</v>
      </c>
      <c r="I573" s="45">
        <v>0</v>
      </c>
      <c r="J573" s="45">
        <f>'NonPublic Enrollment'!$I573*0.2906</f>
        <v>0</v>
      </c>
      <c r="K573" s="45">
        <f>'NonPublic Enrollment'!$D573+'NonPublic Enrollment'!$F573+'NonPublic Enrollment'!$H573+'NonPublic Enrollment'!$J573</f>
        <v>77.774000000000001</v>
      </c>
      <c r="L573" s="39" t="s">
        <v>2591</v>
      </c>
    </row>
    <row r="574" spans="1:12">
      <c r="A574" s="36" t="s">
        <v>2561</v>
      </c>
      <c r="B574" s="36" t="str">
        <f>"056655"</f>
        <v>056655</v>
      </c>
      <c r="C574" s="36" t="s">
        <v>2740</v>
      </c>
      <c r="D574" s="44">
        <v>156</v>
      </c>
      <c r="E574" s="44">
        <v>38</v>
      </c>
      <c r="F574" s="44">
        <f>'NonPublic Enrollment'!$E574*0.1</f>
        <v>3.8000000000000003</v>
      </c>
      <c r="G574" s="44">
        <v>10</v>
      </c>
      <c r="H574" s="44">
        <f>'NonPublic Enrollment'!$G574*0.7374</f>
        <v>7.3740000000000006</v>
      </c>
      <c r="I574" s="44">
        <v>0</v>
      </c>
      <c r="J574" s="44">
        <f>'NonPublic Enrollment'!$I574*0.2906</f>
        <v>0</v>
      </c>
      <c r="K574" s="44">
        <f>'NonPublic Enrollment'!$D574+'NonPublic Enrollment'!$F574+'NonPublic Enrollment'!$H574+'NonPublic Enrollment'!$J574</f>
        <v>167.17400000000001</v>
      </c>
      <c r="L574" s="37" t="s">
        <v>2569</v>
      </c>
    </row>
    <row r="575" spans="1:12">
      <c r="A575" s="38" t="s">
        <v>2561</v>
      </c>
      <c r="B575" s="38" t="str">
        <f>"017030"</f>
        <v>017030</v>
      </c>
      <c r="C575" s="38" t="s">
        <v>2739</v>
      </c>
      <c r="D575" s="45">
        <v>111</v>
      </c>
      <c r="E575" s="45">
        <v>70</v>
      </c>
      <c r="F575" s="45">
        <f>'NonPublic Enrollment'!$E575*0.1</f>
        <v>7</v>
      </c>
      <c r="G575" s="45">
        <v>10</v>
      </c>
      <c r="H575" s="45">
        <f>'NonPublic Enrollment'!$G575*0.7374</f>
        <v>7.3740000000000006</v>
      </c>
      <c r="I575" s="45">
        <v>0</v>
      </c>
      <c r="J575" s="45">
        <f>'NonPublic Enrollment'!$I575*0.2906</f>
        <v>0</v>
      </c>
      <c r="K575" s="45">
        <f>'NonPublic Enrollment'!$D575+'NonPublic Enrollment'!$F575+'NonPublic Enrollment'!$H575+'NonPublic Enrollment'!$J575</f>
        <v>125.374</v>
      </c>
      <c r="L575" s="39" t="s">
        <v>2562</v>
      </c>
    </row>
    <row r="576" spans="1:12">
      <c r="A576" s="36" t="s">
        <v>2561</v>
      </c>
      <c r="B576" s="36" t="str">
        <f>"059444"</f>
        <v>059444</v>
      </c>
      <c r="C576" s="36" t="s">
        <v>2721</v>
      </c>
      <c r="D576" s="44">
        <v>113</v>
      </c>
      <c r="E576" s="44">
        <v>77</v>
      </c>
      <c r="F576" s="44">
        <f>'NonPublic Enrollment'!$E576*0.1</f>
        <v>7.7</v>
      </c>
      <c r="G576" s="44">
        <v>10</v>
      </c>
      <c r="H576" s="44">
        <f>'NonPublic Enrollment'!$G576*0.7374</f>
        <v>7.3740000000000006</v>
      </c>
      <c r="I576" s="44">
        <v>0</v>
      </c>
      <c r="J576" s="44">
        <f>'NonPublic Enrollment'!$I576*0.2906</f>
        <v>0</v>
      </c>
      <c r="K576" s="44">
        <f>'NonPublic Enrollment'!$D576+'NonPublic Enrollment'!$F576+'NonPublic Enrollment'!$H576+'NonPublic Enrollment'!$J576</f>
        <v>128.07400000000001</v>
      </c>
      <c r="L576" s="37" t="s">
        <v>2591</v>
      </c>
    </row>
    <row r="577" spans="1:12">
      <c r="A577" s="38" t="s">
        <v>2561</v>
      </c>
      <c r="B577" s="38" t="str">
        <f>"000660"</f>
        <v>000660</v>
      </c>
      <c r="C577" s="38" t="s">
        <v>2738</v>
      </c>
      <c r="D577" s="45">
        <v>90</v>
      </c>
      <c r="E577" s="45">
        <v>0</v>
      </c>
      <c r="F577" s="45">
        <f>'NonPublic Enrollment'!$E577*0.1</f>
        <v>0</v>
      </c>
      <c r="G577" s="45">
        <v>10</v>
      </c>
      <c r="H577" s="45">
        <f>'NonPublic Enrollment'!$G577*0.7374</f>
        <v>7.3740000000000006</v>
      </c>
      <c r="I577" s="45">
        <v>0</v>
      </c>
      <c r="J577" s="45">
        <f>'NonPublic Enrollment'!$I577*0.2906</f>
        <v>0</v>
      </c>
      <c r="K577" s="45">
        <f>'NonPublic Enrollment'!$D577+'NonPublic Enrollment'!$F577+'NonPublic Enrollment'!$H577+'NonPublic Enrollment'!$J577</f>
        <v>97.373999999999995</v>
      </c>
      <c r="L577" s="39" t="s">
        <v>2591</v>
      </c>
    </row>
    <row r="578" spans="1:12">
      <c r="A578" s="36" t="s">
        <v>2561</v>
      </c>
      <c r="B578" s="36" t="str">
        <f>"057158"</f>
        <v>057158</v>
      </c>
      <c r="C578" s="36" t="s">
        <v>2625</v>
      </c>
      <c r="D578" s="44">
        <v>224</v>
      </c>
      <c r="E578" s="44">
        <v>0</v>
      </c>
      <c r="F578" s="44">
        <f>'NonPublic Enrollment'!$E578*0.1</f>
        <v>0</v>
      </c>
      <c r="G578" s="44">
        <v>9</v>
      </c>
      <c r="H578" s="44">
        <f>'NonPublic Enrollment'!$G578*0.7374</f>
        <v>6.6366000000000005</v>
      </c>
      <c r="I578" s="44">
        <v>0</v>
      </c>
      <c r="J578" s="44">
        <f>'NonPublic Enrollment'!$I578*0.2906</f>
        <v>0</v>
      </c>
      <c r="K578" s="44">
        <f>'NonPublic Enrollment'!$D578+'NonPublic Enrollment'!$F578+'NonPublic Enrollment'!$H578+'NonPublic Enrollment'!$J578</f>
        <v>230.63659999999999</v>
      </c>
      <c r="L578" s="37" t="s">
        <v>2586</v>
      </c>
    </row>
    <row r="579" spans="1:12">
      <c r="A579" s="38" t="s">
        <v>2561</v>
      </c>
      <c r="B579" s="38" t="str">
        <f>"054148"</f>
        <v>054148</v>
      </c>
      <c r="C579" s="38" t="s">
        <v>2737</v>
      </c>
      <c r="D579" s="45">
        <v>26</v>
      </c>
      <c r="E579" s="45">
        <v>11</v>
      </c>
      <c r="F579" s="45">
        <f>'NonPublic Enrollment'!$E579*0.1</f>
        <v>1.1000000000000001</v>
      </c>
      <c r="G579" s="45">
        <v>9</v>
      </c>
      <c r="H579" s="45">
        <f>'NonPublic Enrollment'!$G579*0.7374</f>
        <v>6.6366000000000005</v>
      </c>
      <c r="I579" s="45">
        <v>0</v>
      </c>
      <c r="J579" s="45">
        <f>'NonPublic Enrollment'!$I579*0.2906</f>
        <v>0</v>
      </c>
      <c r="K579" s="45">
        <f>'NonPublic Enrollment'!$D579+'NonPublic Enrollment'!$F579+'NonPublic Enrollment'!$H579+'NonPublic Enrollment'!$J579</f>
        <v>33.736600000000003</v>
      </c>
      <c r="L579" s="39" t="s">
        <v>2591</v>
      </c>
    </row>
    <row r="580" spans="1:12">
      <c r="A580" s="36" t="s">
        <v>2561</v>
      </c>
      <c r="B580" s="36" t="str">
        <f>"056408"</f>
        <v>056408</v>
      </c>
      <c r="C580" s="36" t="s">
        <v>2689</v>
      </c>
      <c r="D580" s="44">
        <v>211</v>
      </c>
      <c r="E580" s="44">
        <v>14</v>
      </c>
      <c r="F580" s="44">
        <f>'NonPublic Enrollment'!$E580*0.1</f>
        <v>1.4000000000000001</v>
      </c>
      <c r="G580" s="44">
        <v>9</v>
      </c>
      <c r="H580" s="44">
        <f>'NonPublic Enrollment'!$G580*0.7374</f>
        <v>6.6366000000000005</v>
      </c>
      <c r="I580" s="44">
        <v>0</v>
      </c>
      <c r="J580" s="44">
        <f>'NonPublic Enrollment'!$I580*0.2906</f>
        <v>0</v>
      </c>
      <c r="K580" s="44">
        <f>'NonPublic Enrollment'!$D580+'NonPublic Enrollment'!$F580+'NonPublic Enrollment'!$H580+'NonPublic Enrollment'!$J580</f>
        <v>219.03659999999999</v>
      </c>
      <c r="L580" s="37" t="s">
        <v>2569</v>
      </c>
    </row>
    <row r="581" spans="1:12">
      <c r="A581" s="38" t="s">
        <v>2561</v>
      </c>
      <c r="B581" s="38" t="str">
        <f>"057257"</f>
        <v>057257</v>
      </c>
      <c r="C581" s="38" t="s">
        <v>2736</v>
      </c>
      <c r="D581" s="45">
        <v>54</v>
      </c>
      <c r="E581" s="45">
        <v>15</v>
      </c>
      <c r="F581" s="45">
        <f>'NonPublic Enrollment'!$E581*0.1</f>
        <v>1.5</v>
      </c>
      <c r="G581" s="45">
        <v>9</v>
      </c>
      <c r="H581" s="45">
        <f>'NonPublic Enrollment'!$G581*0.7374</f>
        <v>6.6366000000000005</v>
      </c>
      <c r="I581" s="45">
        <v>0</v>
      </c>
      <c r="J581" s="45">
        <f>'NonPublic Enrollment'!$I581*0.2906</f>
        <v>0</v>
      </c>
      <c r="K581" s="45">
        <f>'NonPublic Enrollment'!$D581+'NonPublic Enrollment'!$F581+'NonPublic Enrollment'!$H581+'NonPublic Enrollment'!$J581</f>
        <v>62.136600000000001</v>
      </c>
      <c r="L581" s="39" t="s">
        <v>2586</v>
      </c>
    </row>
    <row r="582" spans="1:12">
      <c r="A582" s="36" t="s">
        <v>2561</v>
      </c>
      <c r="B582" s="36" t="str">
        <f>"058909"</f>
        <v>058909</v>
      </c>
      <c r="C582" s="36" t="s">
        <v>2735</v>
      </c>
      <c r="D582" s="44">
        <v>136</v>
      </c>
      <c r="E582" s="44">
        <v>17</v>
      </c>
      <c r="F582" s="44">
        <f>'NonPublic Enrollment'!$E582*0.1</f>
        <v>1.7000000000000002</v>
      </c>
      <c r="G582" s="44">
        <v>9</v>
      </c>
      <c r="H582" s="44">
        <f>'NonPublic Enrollment'!$G582*0.7374</f>
        <v>6.6366000000000005</v>
      </c>
      <c r="I582" s="44">
        <v>0</v>
      </c>
      <c r="J582" s="44">
        <f>'NonPublic Enrollment'!$I582*0.2906</f>
        <v>0</v>
      </c>
      <c r="K582" s="44">
        <f>'NonPublic Enrollment'!$D582+'NonPublic Enrollment'!$F582+'NonPublic Enrollment'!$H582+'NonPublic Enrollment'!$J582</f>
        <v>144.33659999999998</v>
      </c>
      <c r="L582" s="37" t="s">
        <v>2562</v>
      </c>
    </row>
    <row r="583" spans="1:12">
      <c r="A583" s="38" t="s">
        <v>2561</v>
      </c>
      <c r="B583" s="38" t="str">
        <f>"057513"</f>
        <v>057513</v>
      </c>
      <c r="C583" s="38" t="s">
        <v>2734</v>
      </c>
      <c r="D583" s="45">
        <v>311</v>
      </c>
      <c r="E583" s="45">
        <v>20</v>
      </c>
      <c r="F583" s="45">
        <f>'NonPublic Enrollment'!$E583*0.1</f>
        <v>2</v>
      </c>
      <c r="G583" s="45">
        <v>9</v>
      </c>
      <c r="H583" s="45">
        <f>'NonPublic Enrollment'!$G583*0.7374</f>
        <v>6.6366000000000005</v>
      </c>
      <c r="I583" s="45">
        <v>0</v>
      </c>
      <c r="J583" s="45">
        <f>'NonPublic Enrollment'!$I583*0.2906</f>
        <v>0</v>
      </c>
      <c r="K583" s="45">
        <f>'NonPublic Enrollment'!$D583+'NonPublic Enrollment'!$F583+'NonPublic Enrollment'!$H583+'NonPublic Enrollment'!$J583</f>
        <v>319.63659999999999</v>
      </c>
      <c r="L583" s="39" t="s">
        <v>2586</v>
      </c>
    </row>
    <row r="584" spans="1:12">
      <c r="A584" s="36" t="s">
        <v>2561</v>
      </c>
      <c r="B584" s="36" t="str">
        <f>"059279"</f>
        <v>059279</v>
      </c>
      <c r="C584" s="36" t="s">
        <v>2689</v>
      </c>
      <c r="D584" s="44">
        <v>86</v>
      </c>
      <c r="E584" s="44">
        <v>20</v>
      </c>
      <c r="F584" s="44">
        <f>'NonPublic Enrollment'!$E584*0.1</f>
        <v>2</v>
      </c>
      <c r="G584" s="44">
        <v>9</v>
      </c>
      <c r="H584" s="44">
        <f>'NonPublic Enrollment'!$G584*0.7374</f>
        <v>6.6366000000000005</v>
      </c>
      <c r="I584" s="44">
        <v>0</v>
      </c>
      <c r="J584" s="44">
        <f>'NonPublic Enrollment'!$I584*0.2906</f>
        <v>0</v>
      </c>
      <c r="K584" s="44">
        <f>'NonPublic Enrollment'!$D584+'NonPublic Enrollment'!$F584+'NonPublic Enrollment'!$H584+'NonPublic Enrollment'!$J584</f>
        <v>94.636600000000001</v>
      </c>
      <c r="L584" s="37" t="s">
        <v>2591</v>
      </c>
    </row>
    <row r="585" spans="1:12">
      <c r="A585" s="38" t="s">
        <v>2561</v>
      </c>
      <c r="B585" s="38" t="str">
        <f>"057810"</f>
        <v>057810</v>
      </c>
      <c r="C585" s="38" t="s">
        <v>2733</v>
      </c>
      <c r="D585" s="45">
        <v>88</v>
      </c>
      <c r="E585" s="45">
        <v>24</v>
      </c>
      <c r="F585" s="45">
        <f>'NonPublic Enrollment'!$E585*0.1</f>
        <v>2.4000000000000004</v>
      </c>
      <c r="G585" s="45">
        <v>9</v>
      </c>
      <c r="H585" s="45">
        <f>'NonPublic Enrollment'!$G585*0.7374</f>
        <v>6.6366000000000005</v>
      </c>
      <c r="I585" s="45">
        <v>0</v>
      </c>
      <c r="J585" s="45">
        <f>'NonPublic Enrollment'!$I585*0.2906</f>
        <v>0</v>
      </c>
      <c r="K585" s="45">
        <f>'NonPublic Enrollment'!$D585+'NonPublic Enrollment'!$F585+'NonPublic Enrollment'!$H585+'NonPublic Enrollment'!$J585</f>
        <v>97.036600000000007</v>
      </c>
      <c r="L585" s="39" t="s">
        <v>2591</v>
      </c>
    </row>
    <row r="586" spans="1:12">
      <c r="A586" s="36" t="s">
        <v>2561</v>
      </c>
      <c r="B586" s="36" t="str">
        <f>"058396"</f>
        <v>058396</v>
      </c>
      <c r="C586" s="36" t="s">
        <v>2732</v>
      </c>
      <c r="D586" s="44">
        <v>89</v>
      </c>
      <c r="E586" s="44">
        <v>25</v>
      </c>
      <c r="F586" s="44">
        <f>'NonPublic Enrollment'!$E586*0.1</f>
        <v>2.5</v>
      </c>
      <c r="G586" s="44">
        <v>9</v>
      </c>
      <c r="H586" s="44">
        <f>'NonPublic Enrollment'!$G586*0.7374</f>
        <v>6.6366000000000005</v>
      </c>
      <c r="I586" s="44">
        <v>0</v>
      </c>
      <c r="J586" s="44">
        <f>'NonPublic Enrollment'!$I586*0.2906</f>
        <v>0</v>
      </c>
      <c r="K586" s="44">
        <f>'NonPublic Enrollment'!$D586+'NonPublic Enrollment'!$F586+'NonPublic Enrollment'!$H586+'NonPublic Enrollment'!$J586</f>
        <v>98.136600000000001</v>
      </c>
      <c r="L586" s="37" t="s">
        <v>2562</v>
      </c>
    </row>
    <row r="587" spans="1:12">
      <c r="A587" s="38" t="s">
        <v>2561</v>
      </c>
      <c r="B587" s="38" t="str">
        <f>"060392"</f>
        <v>060392</v>
      </c>
      <c r="C587" s="38" t="s">
        <v>2619</v>
      </c>
      <c r="D587" s="45">
        <v>81</v>
      </c>
      <c r="E587" s="45">
        <v>30</v>
      </c>
      <c r="F587" s="45">
        <f>'NonPublic Enrollment'!$E587*0.1</f>
        <v>3</v>
      </c>
      <c r="G587" s="45">
        <v>9</v>
      </c>
      <c r="H587" s="45">
        <f>'NonPublic Enrollment'!$G587*0.7374</f>
        <v>6.6366000000000005</v>
      </c>
      <c r="I587" s="45">
        <v>0</v>
      </c>
      <c r="J587" s="45">
        <f>'NonPublic Enrollment'!$I587*0.2906</f>
        <v>0</v>
      </c>
      <c r="K587" s="45">
        <f>'NonPublic Enrollment'!$D587+'NonPublic Enrollment'!$F587+'NonPublic Enrollment'!$H587+'NonPublic Enrollment'!$J587</f>
        <v>90.636600000000001</v>
      </c>
      <c r="L587" s="39" t="s">
        <v>2591</v>
      </c>
    </row>
    <row r="588" spans="1:12">
      <c r="A588" s="36" t="s">
        <v>2561</v>
      </c>
      <c r="B588" s="36" t="str">
        <f>"053124"</f>
        <v>053124</v>
      </c>
      <c r="C588" s="36" t="s">
        <v>2731</v>
      </c>
      <c r="D588" s="44">
        <v>316</v>
      </c>
      <c r="E588" s="44">
        <v>98</v>
      </c>
      <c r="F588" s="44">
        <f>'NonPublic Enrollment'!$E588*0.1</f>
        <v>9.8000000000000007</v>
      </c>
      <c r="G588" s="44">
        <v>9</v>
      </c>
      <c r="H588" s="44">
        <f>'NonPublic Enrollment'!$G588*0.7374</f>
        <v>6.6366000000000005</v>
      </c>
      <c r="I588" s="44">
        <v>0</v>
      </c>
      <c r="J588" s="44">
        <f>'NonPublic Enrollment'!$I588*0.2906</f>
        <v>0</v>
      </c>
      <c r="K588" s="44">
        <f>'NonPublic Enrollment'!$D588+'NonPublic Enrollment'!$F588+'NonPublic Enrollment'!$H588+'NonPublic Enrollment'!$J588</f>
        <v>332.4366</v>
      </c>
      <c r="L588" s="37" t="s">
        <v>2591</v>
      </c>
    </row>
    <row r="589" spans="1:12">
      <c r="A589" s="38" t="s">
        <v>2561</v>
      </c>
      <c r="B589" s="38" t="str">
        <f>"060327"</f>
        <v>060327</v>
      </c>
      <c r="C589" s="38" t="s">
        <v>2730</v>
      </c>
      <c r="D589" s="45">
        <v>169</v>
      </c>
      <c r="E589" s="45">
        <v>108</v>
      </c>
      <c r="F589" s="45">
        <f>'NonPublic Enrollment'!$E589*0.1</f>
        <v>10.8</v>
      </c>
      <c r="G589" s="45">
        <v>9</v>
      </c>
      <c r="H589" s="45">
        <f>'NonPublic Enrollment'!$G589*0.7374</f>
        <v>6.6366000000000005</v>
      </c>
      <c r="I589" s="45">
        <v>0</v>
      </c>
      <c r="J589" s="45">
        <f>'NonPublic Enrollment'!$I589*0.2906</f>
        <v>0</v>
      </c>
      <c r="K589" s="45">
        <f>'NonPublic Enrollment'!$D589+'NonPublic Enrollment'!$F589+'NonPublic Enrollment'!$H589+'NonPublic Enrollment'!$J589</f>
        <v>186.4366</v>
      </c>
      <c r="L589" s="39" t="s">
        <v>2562</v>
      </c>
    </row>
    <row r="590" spans="1:12">
      <c r="A590" s="36" t="s">
        <v>2561</v>
      </c>
      <c r="B590" s="36" t="str">
        <f>"059345"</f>
        <v>059345</v>
      </c>
      <c r="C590" s="36" t="s">
        <v>2729</v>
      </c>
      <c r="D590" s="44">
        <v>294</v>
      </c>
      <c r="E590" s="44">
        <v>125</v>
      </c>
      <c r="F590" s="44">
        <f>'NonPublic Enrollment'!$E590*0.1</f>
        <v>12.5</v>
      </c>
      <c r="G590" s="44">
        <v>9</v>
      </c>
      <c r="H590" s="44">
        <f>'NonPublic Enrollment'!$G590*0.7374</f>
        <v>6.6366000000000005</v>
      </c>
      <c r="I590" s="44">
        <v>0</v>
      </c>
      <c r="J590" s="44">
        <f>'NonPublic Enrollment'!$I590*0.2906</f>
        <v>0</v>
      </c>
      <c r="K590" s="44">
        <f>'NonPublic Enrollment'!$D590+'NonPublic Enrollment'!$F590+'NonPublic Enrollment'!$H590+'NonPublic Enrollment'!$J590</f>
        <v>313.13659999999999</v>
      </c>
      <c r="L590" s="37" t="s">
        <v>2591</v>
      </c>
    </row>
    <row r="591" spans="1:12">
      <c r="A591" s="38" t="s">
        <v>2561</v>
      </c>
      <c r="B591" s="38" t="str">
        <f>"053199"</f>
        <v>053199</v>
      </c>
      <c r="C591" s="38" t="s">
        <v>2728</v>
      </c>
      <c r="D591" s="45">
        <v>334</v>
      </c>
      <c r="E591" s="45">
        <v>200</v>
      </c>
      <c r="F591" s="45">
        <f>'NonPublic Enrollment'!$E591*0.1</f>
        <v>20</v>
      </c>
      <c r="G591" s="45">
        <v>9</v>
      </c>
      <c r="H591" s="45">
        <f>'NonPublic Enrollment'!$G591*0.7374</f>
        <v>6.6366000000000005</v>
      </c>
      <c r="I591" s="45">
        <v>0</v>
      </c>
      <c r="J591" s="45">
        <f>'NonPublic Enrollment'!$I591*0.2906</f>
        <v>0</v>
      </c>
      <c r="K591" s="45">
        <f>'NonPublic Enrollment'!$D591+'NonPublic Enrollment'!$F591+'NonPublic Enrollment'!$H591+'NonPublic Enrollment'!$J591</f>
        <v>360.63659999999999</v>
      </c>
      <c r="L591" s="39" t="s">
        <v>2562</v>
      </c>
    </row>
    <row r="592" spans="1:12">
      <c r="A592" s="36" t="s">
        <v>2561</v>
      </c>
      <c r="B592" s="36" t="str">
        <f>"056432"</f>
        <v>056432</v>
      </c>
      <c r="C592" s="36" t="s">
        <v>2727</v>
      </c>
      <c r="D592" s="44">
        <v>168</v>
      </c>
      <c r="E592" s="44">
        <v>0</v>
      </c>
      <c r="F592" s="44">
        <f>'NonPublic Enrollment'!$E592*0.1</f>
        <v>0</v>
      </c>
      <c r="G592" s="44">
        <v>9</v>
      </c>
      <c r="H592" s="44">
        <f>'NonPublic Enrollment'!$G592*0.7374</f>
        <v>6.6366000000000005</v>
      </c>
      <c r="I592" s="44">
        <v>0</v>
      </c>
      <c r="J592" s="44">
        <f>'NonPublic Enrollment'!$I592*0.2906</f>
        <v>0</v>
      </c>
      <c r="K592" s="44">
        <f>'NonPublic Enrollment'!$D592+'NonPublic Enrollment'!$F592+'NonPublic Enrollment'!$H592+'NonPublic Enrollment'!$J592</f>
        <v>174.63659999999999</v>
      </c>
      <c r="L592" s="37" t="s">
        <v>2562</v>
      </c>
    </row>
    <row r="593" spans="1:12">
      <c r="A593" s="38" t="s">
        <v>2561</v>
      </c>
      <c r="B593" s="38" t="str">
        <f>"055004"</f>
        <v>055004</v>
      </c>
      <c r="C593" s="38" t="s">
        <v>2726</v>
      </c>
      <c r="D593" s="45">
        <v>155</v>
      </c>
      <c r="E593" s="45">
        <v>5</v>
      </c>
      <c r="F593" s="45">
        <f>'NonPublic Enrollment'!$E593*0.1</f>
        <v>0.5</v>
      </c>
      <c r="G593" s="45">
        <v>8</v>
      </c>
      <c r="H593" s="45">
        <f>'NonPublic Enrollment'!$G593*0.7374</f>
        <v>5.8992000000000004</v>
      </c>
      <c r="I593" s="45">
        <v>0</v>
      </c>
      <c r="J593" s="45">
        <f>'NonPublic Enrollment'!$I593*0.2906</f>
        <v>0</v>
      </c>
      <c r="K593" s="45">
        <f>'NonPublic Enrollment'!$D593+'NonPublic Enrollment'!$F593+'NonPublic Enrollment'!$H593+'NonPublic Enrollment'!$J593</f>
        <v>161.39920000000001</v>
      </c>
      <c r="L593" s="39" t="s">
        <v>2591</v>
      </c>
    </row>
    <row r="594" spans="1:12">
      <c r="A594" s="36" t="s">
        <v>2561</v>
      </c>
      <c r="B594" s="36" t="str">
        <f>"055475"</f>
        <v>055475</v>
      </c>
      <c r="C594" s="36" t="s">
        <v>2725</v>
      </c>
      <c r="D594" s="44">
        <v>169</v>
      </c>
      <c r="E594" s="44">
        <v>8</v>
      </c>
      <c r="F594" s="44">
        <f>'NonPublic Enrollment'!$E594*0.1</f>
        <v>0.8</v>
      </c>
      <c r="G594" s="44">
        <v>8</v>
      </c>
      <c r="H594" s="44">
        <f>'NonPublic Enrollment'!$G594*0.7374</f>
        <v>5.8992000000000004</v>
      </c>
      <c r="I594" s="44">
        <v>0</v>
      </c>
      <c r="J594" s="44">
        <f>'NonPublic Enrollment'!$I594*0.2906</f>
        <v>0</v>
      </c>
      <c r="K594" s="44">
        <f>'NonPublic Enrollment'!$D594+'NonPublic Enrollment'!$F594+'NonPublic Enrollment'!$H594+'NonPublic Enrollment'!$J594</f>
        <v>175.69920000000002</v>
      </c>
      <c r="L594" s="37" t="s">
        <v>2580</v>
      </c>
    </row>
    <row r="595" spans="1:12">
      <c r="A595" s="38" t="s">
        <v>2561</v>
      </c>
      <c r="B595" s="38" t="str">
        <f>"058859"</f>
        <v>058859</v>
      </c>
      <c r="C595" s="38" t="s">
        <v>2724</v>
      </c>
      <c r="D595" s="45">
        <v>46</v>
      </c>
      <c r="E595" s="45">
        <v>8</v>
      </c>
      <c r="F595" s="45">
        <f>'NonPublic Enrollment'!$E595*0.1</f>
        <v>0.8</v>
      </c>
      <c r="G595" s="45">
        <v>8</v>
      </c>
      <c r="H595" s="45">
        <f>'NonPublic Enrollment'!$G595*0.7374</f>
        <v>5.8992000000000004</v>
      </c>
      <c r="I595" s="45">
        <v>0</v>
      </c>
      <c r="J595" s="45">
        <f>'NonPublic Enrollment'!$I595*0.2906</f>
        <v>0</v>
      </c>
      <c r="K595" s="45">
        <f>'NonPublic Enrollment'!$D595+'NonPublic Enrollment'!$F595+'NonPublic Enrollment'!$H595+'NonPublic Enrollment'!$J595</f>
        <v>52.699199999999998</v>
      </c>
      <c r="L595" s="39" t="s">
        <v>2562</v>
      </c>
    </row>
    <row r="596" spans="1:12">
      <c r="A596" s="36" t="s">
        <v>2561</v>
      </c>
      <c r="B596" s="36" t="str">
        <f>"052712"</f>
        <v>052712</v>
      </c>
      <c r="C596" s="36" t="s">
        <v>2723</v>
      </c>
      <c r="D596" s="44">
        <v>98</v>
      </c>
      <c r="E596" s="44">
        <v>9</v>
      </c>
      <c r="F596" s="44">
        <f>'NonPublic Enrollment'!$E596*0.1</f>
        <v>0.9</v>
      </c>
      <c r="G596" s="44">
        <v>8</v>
      </c>
      <c r="H596" s="44">
        <f>'NonPublic Enrollment'!$G596*0.7374</f>
        <v>5.8992000000000004</v>
      </c>
      <c r="I596" s="44">
        <v>0</v>
      </c>
      <c r="J596" s="44">
        <f>'NonPublic Enrollment'!$I596*0.2906</f>
        <v>0</v>
      </c>
      <c r="K596" s="44">
        <f>'NonPublic Enrollment'!$D596+'NonPublic Enrollment'!$F596+'NonPublic Enrollment'!$H596+'NonPublic Enrollment'!$J596</f>
        <v>104.79920000000001</v>
      </c>
      <c r="L596" s="37" t="s">
        <v>2562</v>
      </c>
    </row>
    <row r="597" spans="1:12">
      <c r="A597" s="38" t="s">
        <v>2561</v>
      </c>
      <c r="B597" s="38" t="str">
        <f>"056697"</f>
        <v>056697</v>
      </c>
      <c r="C597" s="38" t="s">
        <v>2722</v>
      </c>
      <c r="D597" s="45">
        <v>148</v>
      </c>
      <c r="E597" s="45">
        <v>11</v>
      </c>
      <c r="F597" s="45">
        <f>'NonPublic Enrollment'!$E597*0.1</f>
        <v>1.1000000000000001</v>
      </c>
      <c r="G597" s="45">
        <v>8</v>
      </c>
      <c r="H597" s="45">
        <f>'NonPublic Enrollment'!$G597*0.7374</f>
        <v>5.8992000000000004</v>
      </c>
      <c r="I597" s="45">
        <v>0</v>
      </c>
      <c r="J597" s="45">
        <f>'NonPublic Enrollment'!$I597*0.2906</f>
        <v>0</v>
      </c>
      <c r="K597" s="45">
        <f>'NonPublic Enrollment'!$D597+'NonPublic Enrollment'!$F597+'NonPublic Enrollment'!$H597+'NonPublic Enrollment'!$J597</f>
        <v>154.9992</v>
      </c>
      <c r="L597" s="39" t="s">
        <v>2562</v>
      </c>
    </row>
    <row r="598" spans="1:12">
      <c r="A598" s="36" t="s">
        <v>2561</v>
      </c>
      <c r="B598" s="36" t="str">
        <f>"058164"</f>
        <v>058164</v>
      </c>
      <c r="C598" s="36" t="s">
        <v>2721</v>
      </c>
      <c r="D598" s="44">
        <v>75</v>
      </c>
      <c r="E598" s="44">
        <v>22</v>
      </c>
      <c r="F598" s="44">
        <f>'NonPublic Enrollment'!$E598*0.1</f>
        <v>2.2000000000000002</v>
      </c>
      <c r="G598" s="44">
        <v>8</v>
      </c>
      <c r="H598" s="44">
        <f>'NonPublic Enrollment'!$G598*0.7374</f>
        <v>5.8992000000000004</v>
      </c>
      <c r="I598" s="44">
        <v>0</v>
      </c>
      <c r="J598" s="44">
        <f>'NonPublic Enrollment'!$I598*0.2906</f>
        <v>0</v>
      </c>
      <c r="K598" s="44">
        <f>'NonPublic Enrollment'!$D598+'NonPublic Enrollment'!$F598+'NonPublic Enrollment'!$H598+'NonPublic Enrollment'!$J598</f>
        <v>83.099199999999996</v>
      </c>
      <c r="L598" s="37" t="s">
        <v>2591</v>
      </c>
    </row>
    <row r="599" spans="1:12">
      <c r="A599" s="38" t="s">
        <v>2561</v>
      </c>
      <c r="B599" s="38" t="str">
        <f>"053843"</f>
        <v>053843</v>
      </c>
      <c r="C599" s="38" t="s">
        <v>2720</v>
      </c>
      <c r="D599" s="45">
        <v>552</v>
      </c>
      <c r="E599" s="45">
        <v>0</v>
      </c>
      <c r="F599" s="45">
        <f>'NonPublic Enrollment'!$E599*0.1</f>
        <v>0</v>
      </c>
      <c r="G599" s="45">
        <v>8</v>
      </c>
      <c r="H599" s="45">
        <f>'NonPublic Enrollment'!$G599*0.7374</f>
        <v>5.8992000000000004</v>
      </c>
      <c r="I599" s="45">
        <v>0</v>
      </c>
      <c r="J599" s="45">
        <f>'NonPublic Enrollment'!$I599*0.2906</f>
        <v>0</v>
      </c>
      <c r="K599" s="45">
        <f>'NonPublic Enrollment'!$D599+'NonPublic Enrollment'!$F599+'NonPublic Enrollment'!$H599+'NonPublic Enrollment'!$J599</f>
        <v>557.89919999999995</v>
      </c>
      <c r="L599" s="39" t="s">
        <v>2591</v>
      </c>
    </row>
    <row r="600" spans="1:12">
      <c r="A600" s="36" t="s">
        <v>2561</v>
      </c>
      <c r="B600" s="36" t="str">
        <f>"056820"</f>
        <v>056820</v>
      </c>
      <c r="C600" s="36" t="s">
        <v>2719</v>
      </c>
      <c r="D600" s="44">
        <v>257</v>
      </c>
      <c r="E600" s="44">
        <v>0</v>
      </c>
      <c r="F600" s="44">
        <f>'NonPublic Enrollment'!$E600*0.1</f>
        <v>0</v>
      </c>
      <c r="G600" s="44">
        <v>8</v>
      </c>
      <c r="H600" s="44">
        <f>'NonPublic Enrollment'!$G600*0.7374</f>
        <v>5.8992000000000004</v>
      </c>
      <c r="I600" s="44">
        <v>0</v>
      </c>
      <c r="J600" s="44">
        <f>'NonPublic Enrollment'!$I600*0.2906</f>
        <v>0</v>
      </c>
      <c r="K600" s="44">
        <f>'NonPublic Enrollment'!$D600+'NonPublic Enrollment'!$F600+'NonPublic Enrollment'!$H600+'NonPublic Enrollment'!$J600</f>
        <v>262.89920000000001</v>
      </c>
      <c r="L600" s="37" t="s">
        <v>2562</v>
      </c>
    </row>
    <row r="601" spans="1:12">
      <c r="A601" s="38" t="s">
        <v>2561</v>
      </c>
      <c r="B601" s="38" t="str">
        <f>"068205"</f>
        <v>068205</v>
      </c>
      <c r="C601" s="38" t="s">
        <v>2718</v>
      </c>
      <c r="D601" s="45">
        <v>306</v>
      </c>
      <c r="E601" s="45">
        <v>0</v>
      </c>
      <c r="F601" s="45">
        <f>'NonPublic Enrollment'!$E601*0.1</f>
        <v>0</v>
      </c>
      <c r="G601" s="45">
        <v>8</v>
      </c>
      <c r="H601" s="45">
        <f>'NonPublic Enrollment'!$G601*0.7374</f>
        <v>5.8992000000000004</v>
      </c>
      <c r="I601" s="45">
        <v>0</v>
      </c>
      <c r="J601" s="45">
        <f>'NonPublic Enrollment'!$I601*0.2906</f>
        <v>0</v>
      </c>
      <c r="K601" s="45">
        <f>'NonPublic Enrollment'!$D601+'NonPublic Enrollment'!$F601+'NonPublic Enrollment'!$H601+'NonPublic Enrollment'!$J601</f>
        <v>311.89920000000001</v>
      </c>
      <c r="L601" s="39" t="s">
        <v>2572</v>
      </c>
    </row>
    <row r="602" spans="1:12">
      <c r="A602" s="36" t="s">
        <v>2561</v>
      </c>
      <c r="B602" s="36" t="str">
        <f>"017431"</f>
        <v>017431</v>
      </c>
      <c r="C602" s="36" t="s">
        <v>2717</v>
      </c>
      <c r="D602" s="44">
        <v>14</v>
      </c>
      <c r="E602" s="44">
        <v>3</v>
      </c>
      <c r="F602" s="44">
        <f>'NonPublic Enrollment'!$E602*0.1</f>
        <v>0.30000000000000004</v>
      </c>
      <c r="G602" s="44">
        <v>7</v>
      </c>
      <c r="H602" s="44">
        <f>'NonPublic Enrollment'!$G602*0.7374</f>
        <v>5.1618000000000004</v>
      </c>
      <c r="I602" s="44">
        <v>0</v>
      </c>
      <c r="J602" s="44">
        <f>'NonPublic Enrollment'!$I602*0.2906</f>
        <v>0</v>
      </c>
      <c r="K602" s="44">
        <f>'NonPublic Enrollment'!$D602+'NonPublic Enrollment'!$F602+'NonPublic Enrollment'!$H602+'NonPublic Enrollment'!$J602</f>
        <v>19.4618</v>
      </c>
      <c r="L602" s="37" t="s">
        <v>2569</v>
      </c>
    </row>
    <row r="603" spans="1:12">
      <c r="A603" s="38" t="s">
        <v>2561</v>
      </c>
      <c r="B603" s="38" t="str">
        <f>"059196"</f>
        <v>059196</v>
      </c>
      <c r="C603" s="38" t="s">
        <v>2689</v>
      </c>
      <c r="D603" s="45">
        <v>65</v>
      </c>
      <c r="E603" s="45">
        <v>7</v>
      </c>
      <c r="F603" s="45">
        <f>'NonPublic Enrollment'!$E603*0.1</f>
        <v>0.70000000000000007</v>
      </c>
      <c r="G603" s="45">
        <v>7</v>
      </c>
      <c r="H603" s="45">
        <f>'NonPublic Enrollment'!$G603*0.7374</f>
        <v>5.1618000000000004</v>
      </c>
      <c r="I603" s="45">
        <v>0</v>
      </c>
      <c r="J603" s="45">
        <f>'NonPublic Enrollment'!$I603*0.2906</f>
        <v>0</v>
      </c>
      <c r="K603" s="45">
        <f>'NonPublic Enrollment'!$D603+'NonPublic Enrollment'!$F603+'NonPublic Enrollment'!$H603+'NonPublic Enrollment'!$J603</f>
        <v>70.861800000000002</v>
      </c>
      <c r="L603" s="39" t="s">
        <v>2591</v>
      </c>
    </row>
    <row r="604" spans="1:12">
      <c r="A604" s="36" t="s">
        <v>2561</v>
      </c>
      <c r="B604" s="36" t="str">
        <f>"059246"</f>
        <v>059246</v>
      </c>
      <c r="C604" s="36" t="s">
        <v>2716</v>
      </c>
      <c r="D604" s="44">
        <v>89</v>
      </c>
      <c r="E604" s="44">
        <v>8</v>
      </c>
      <c r="F604" s="44">
        <f>'NonPublic Enrollment'!$E604*0.1</f>
        <v>0.8</v>
      </c>
      <c r="G604" s="44">
        <v>7</v>
      </c>
      <c r="H604" s="44">
        <f>'NonPublic Enrollment'!$G604*0.7374</f>
        <v>5.1618000000000004</v>
      </c>
      <c r="I604" s="44">
        <v>0</v>
      </c>
      <c r="J604" s="44">
        <f>'NonPublic Enrollment'!$I604*0.2906</f>
        <v>0</v>
      </c>
      <c r="K604" s="44">
        <f>'NonPublic Enrollment'!$D604+'NonPublic Enrollment'!$F604+'NonPublic Enrollment'!$H604+'NonPublic Enrollment'!$J604</f>
        <v>94.961799999999997</v>
      </c>
      <c r="L604" s="37" t="s">
        <v>2562</v>
      </c>
    </row>
    <row r="605" spans="1:12">
      <c r="A605" s="38" t="s">
        <v>2561</v>
      </c>
      <c r="B605" s="38" t="str">
        <f>"056945"</f>
        <v>056945</v>
      </c>
      <c r="C605" s="38" t="s">
        <v>2715</v>
      </c>
      <c r="D605" s="45">
        <v>343</v>
      </c>
      <c r="E605" s="45">
        <v>11</v>
      </c>
      <c r="F605" s="45">
        <f>'NonPublic Enrollment'!$E605*0.1</f>
        <v>1.1000000000000001</v>
      </c>
      <c r="G605" s="45">
        <v>7</v>
      </c>
      <c r="H605" s="45">
        <f>'NonPublic Enrollment'!$G605*0.7374</f>
        <v>5.1618000000000004</v>
      </c>
      <c r="I605" s="45">
        <v>0</v>
      </c>
      <c r="J605" s="45">
        <f>'NonPublic Enrollment'!$I605*0.2906</f>
        <v>0</v>
      </c>
      <c r="K605" s="45">
        <f>'NonPublic Enrollment'!$D605+'NonPublic Enrollment'!$F605+'NonPublic Enrollment'!$H605+'NonPublic Enrollment'!$J605</f>
        <v>349.26180000000005</v>
      </c>
      <c r="L605" s="39" t="s">
        <v>2569</v>
      </c>
    </row>
    <row r="606" spans="1:12">
      <c r="A606" s="36" t="s">
        <v>2561</v>
      </c>
      <c r="B606" s="36" t="str">
        <f>"059386"</f>
        <v>059386</v>
      </c>
      <c r="C606" s="36" t="s">
        <v>2673</v>
      </c>
      <c r="D606" s="44">
        <v>132</v>
      </c>
      <c r="E606" s="44">
        <v>12</v>
      </c>
      <c r="F606" s="44">
        <f>'NonPublic Enrollment'!$E606*0.1</f>
        <v>1.2000000000000002</v>
      </c>
      <c r="G606" s="44">
        <v>7</v>
      </c>
      <c r="H606" s="44">
        <f>'NonPublic Enrollment'!$G606*0.7374</f>
        <v>5.1618000000000004</v>
      </c>
      <c r="I606" s="44">
        <v>0</v>
      </c>
      <c r="J606" s="44">
        <f>'NonPublic Enrollment'!$I606*0.2906</f>
        <v>0</v>
      </c>
      <c r="K606" s="44">
        <f>'NonPublic Enrollment'!$D606+'NonPublic Enrollment'!$F606+'NonPublic Enrollment'!$H606+'NonPublic Enrollment'!$J606</f>
        <v>138.36179999999999</v>
      </c>
      <c r="L606" s="37" t="s">
        <v>2580</v>
      </c>
    </row>
    <row r="607" spans="1:12">
      <c r="A607" s="38" t="s">
        <v>2561</v>
      </c>
      <c r="B607" s="38" t="str">
        <f>"057653"</f>
        <v>057653</v>
      </c>
      <c r="C607" s="38" t="s">
        <v>2714</v>
      </c>
      <c r="D607" s="45">
        <v>125</v>
      </c>
      <c r="E607" s="45">
        <v>13</v>
      </c>
      <c r="F607" s="45">
        <f>'NonPublic Enrollment'!$E607*0.1</f>
        <v>1.3</v>
      </c>
      <c r="G607" s="45">
        <v>7</v>
      </c>
      <c r="H607" s="45">
        <f>'NonPublic Enrollment'!$G607*0.7374</f>
        <v>5.1618000000000004</v>
      </c>
      <c r="I607" s="45">
        <v>0</v>
      </c>
      <c r="J607" s="45">
        <f>'NonPublic Enrollment'!$I607*0.2906</f>
        <v>0</v>
      </c>
      <c r="K607" s="45">
        <f>'NonPublic Enrollment'!$D607+'NonPublic Enrollment'!$F607+'NonPublic Enrollment'!$H607+'NonPublic Enrollment'!$J607</f>
        <v>131.46180000000001</v>
      </c>
      <c r="L607" s="39" t="s">
        <v>2562</v>
      </c>
    </row>
    <row r="608" spans="1:12">
      <c r="A608" s="36" t="s">
        <v>2561</v>
      </c>
      <c r="B608" s="36" t="str">
        <f>"059055"</f>
        <v>059055</v>
      </c>
      <c r="C608" s="36" t="s">
        <v>2625</v>
      </c>
      <c r="D608" s="44">
        <v>33</v>
      </c>
      <c r="E608" s="44">
        <v>15</v>
      </c>
      <c r="F608" s="44">
        <f>'NonPublic Enrollment'!$E608*0.1</f>
        <v>1.5</v>
      </c>
      <c r="G608" s="44">
        <v>7</v>
      </c>
      <c r="H608" s="44">
        <f>'NonPublic Enrollment'!$G608*0.7374</f>
        <v>5.1618000000000004</v>
      </c>
      <c r="I608" s="44">
        <v>0</v>
      </c>
      <c r="J608" s="44">
        <f>'NonPublic Enrollment'!$I608*0.2906</f>
        <v>0</v>
      </c>
      <c r="K608" s="44">
        <f>'NonPublic Enrollment'!$D608+'NonPublic Enrollment'!$F608+'NonPublic Enrollment'!$H608+'NonPublic Enrollment'!$J608</f>
        <v>39.661799999999999</v>
      </c>
      <c r="L608" s="37" t="s">
        <v>2562</v>
      </c>
    </row>
    <row r="609" spans="1:12">
      <c r="A609" s="38" t="s">
        <v>2561</v>
      </c>
      <c r="B609" s="38" t="str">
        <f>"055368"</f>
        <v>055368</v>
      </c>
      <c r="C609" s="38" t="s">
        <v>2713</v>
      </c>
      <c r="D609" s="45">
        <v>120</v>
      </c>
      <c r="E609" s="45">
        <v>23</v>
      </c>
      <c r="F609" s="45">
        <f>'NonPublic Enrollment'!$E609*0.1</f>
        <v>2.3000000000000003</v>
      </c>
      <c r="G609" s="45">
        <v>7</v>
      </c>
      <c r="H609" s="45">
        <f>'NonPublic Enrollment'!$G609*0.7374</f>
        <v>5.1618000000000004</v>
      </c>
      <c r="I609" s="45">
        <v>0</v>
      </c>
      <c r="J609" s="45">
        <f>'NonPublic Enrollment'!$I609*0.2906</f>
        <v>0</v>
      </c>
      <c r="K609" s="45">
        <f>'NonPublic Enrollment'!$D609+'NonPublic Enrollment'!$F609+'NonPublic Enrollment'!$H609+'NonPublic Enrollment'!$J609</f>
        <v>127.4618</v>
      </c>
      <c r="L609" s="39" t="s">
        <v>2562</v>
      </c>
    </row>
    <row r="610" spans="1:12">
      <c r="A610" s="36" t="s">
        <v>2561</v>
      </c>
      <c r="B610" s="36" t="str">
        <f>"059634"</f>
        <v>059634</v>
      </c>
      <c r="C610" s="36" t="s">
        <v>2712</v>
      </c>
      <c r="D610" s="44">
        <v>100</v>
      </c>
      <c r="E610" s="44">
        <v>24</v>
      </c>
      <c r="F610" s="44">
        <f>'NonPublic Enrollment'!$E610*0.1</f>
        <v>2.4000000000000004</v>
      </c>
      <c r="G610" s="44">
        <v>7</v>
      </c>
      <c r="H610" s="44">
        <f>'NonPublic Enrollment'!$G610*0.7374</f>
        <v>5.1618000000000004</v>
      </c>
      <c r="I610" s="44">
        <v>0</v>
      </c>
      <c r="J610" s="44">
        <f>'NonPublic Enrollment'!$I610*0.2906</f>
        <v>0</v>
      </c>
      <c r="K610" s="44">
        <f>'NonPublic Enrollment'!$D610+'NonPublic Enrollment'!$F610+'NonPublic Enrollment'!$H610+'NonPublic Enrollment'!$J610</f>
        <v>107.56180000000001</v>
      </c>
      <c r="L610" s="37" t="s">
        <v>2562</v>
      </c>
    </row>
    <row r="611" spans="1:12">
      <c r="A611" s="38" t="s">
        <v>2561</v>
      </c>
      <c r="B611" s="38" t="str">
        <f>"058255"</f>
        <v>058255</v>
      </c>
      <c r="C611" s="38" t="s">
        <v>2711</v>
      </c>
      <c r="D611" s="45">
        <v>90</v>
      </c>
      <c r="E611" s="45">
        <v>26</v>
      </c>
      <c r="F611" s="45">
        <f>'NonPublic Enrollment'!$E611*0.1</f>
        <v>2.6</v>
      </c>
      <c r="G611" s="45">
        <v>7</v>
      </c>
      <c r="H611" s="45">
        <f>'NonPublic Enrollment'!$G611*0.7374</f>
        <v>5.1618000000000004</v>
      </c>
      <c r="I611" s="45">
        <v>0</v>
      </c>
      <c r="J611" s="45">
        <f>'NonPublic Enrollment'!$I611*0.2906</f>
        <v>0</v>
      </c>
      <c r="K611" s="45">
        <f>'NonPublic Enrollment'!$D611+'NonPublic Enrollment'!$F611+'NonPublic Enrollment'!$H611+'NonPublic Enrollment'!$J611</f>
        <v>97.761799999999994</v>
      </c>
      <c r="L611" s="39" t="s">
        <v>2586</v>
      </c>
    </row>
    <row r="612" spans="1:12">
      <c r="A612" s="36" t="s">
        <v>2561</v>
      </c>
      <c r="B612" s="36" t="str">
        <f>"070151"</f>
        <v>070151</v>
      </c>
      <c r="C612" s="36" t="s">
        <v>2710</v>
      </c>
      <c r="D612" s="44">
        <v>102</v>
      </c>
      <c r="E612" s="44">
        <v>50</v>
      </c>
      <c r="F612" s="44">
        <f>'NonPublic Enrollment'!$E612*0.1</f>
        <v>5</v>
      </c>
      <c r="G612" s="44">
        <v>7</v>
      </c>
      <c r="H612" s="44">
        <f>'NonPublic Enrollment'!$G612*0.7374</f>
        <v>5.1618000000000004</v>
      </c>
      <c r="I612" s="44">
        <v>0</v>
      </c>
      <c r="J612" s="44">
        <f>'NonPublic Enrollment'!$I612*0.2906</f>
        <v>0</v>
      </c>
      <c r="K612" s="44">
        <f>'NonPublic Enrollment'!$D612+'NonPublic Enrollment'!$F612+'NonPublic Enrollment'!$H612+'NonPublic Enrollment'!$J612</f>
        <v>112.1618</v>
      </c>
      <c r="L612" s="37" t="s">
        <v>2569</v>
      </c>
    </row>
    <row r="613" spans="1:12">
      <c r="A613" s="38" t="s">
        <v>2561</v>
      </c>
      <c r="B613" s="38" t="str">
        <f>"090464"</f>
        <v>090464</v>
      </c>
      <c r="C613" s="38" t="s">
        <v>2709</v>
      </c>
      <c r="D613" s="45">
        <v>151</v>
      </c>
      <c r="E613" s="45">
        <v>53</v>
      </c>
      <c r="F613" s="45">
        <f>'NonPublic Enrollment'!$E613*0.1</f>
        <v>5.3000000000000007</v>
      </c>
      <c r="G613" s="45">
        <v>7</v>
      </c>
      <c r="H613" s="45">
        <f>'NonPublic Enrollment'!$G613*0.7374</f>
        <v>5.1618000000000004</v>
      </c>
      <c r="I613" s="45">
        <v>0</v>
      </c>
      <c r="J613" s="45">
        <f>'NonPublic Enrollment'!$I613*0.2906</f>
        <v>0</v>
      </c>
      <c r="K613" s="45">
        <f>'NonPublic Enrollment'!$D613+'NonPublic Enrollment'!$F613+'NonPublic Enrollment'!$H613+'NonPublic Enrollment'!$J613</f>
        <v>161.46180000000001</v>
      </c>
      <c r="L613" s="39" t="s">
        <v>2562</v>
      </c>
    </row>
    <row r="614" spans="1:12">
      <c r="A614" s="36" t="s">
        <v>2561</v>
      </c>
      <c r="B614" s="36" t="str">
        <f>"058727"</f>
        <v>058727</v>
      </c>
      <c r="C614" s="36" t="s">
        <v>2699</v>
      </c>
      <c r="D614" s="44">
        <v>91</v>
      </c>
      <c r="E614" s="44">
        <v>54</v>
      </c>
      <c r="F614" s="44">
        <f>'NonPublic Enrollment'!$E614*0.1</f>
        <v>5.4</v>
      </c>
      <c r="G614" s="44">
        <v>7</v>
      </c>
      <c r="H614" s="44">
        <f>'NonPublic Enrollment'!$G614*0.7374</f>
        <v>5.1618000000000004</v>
      </c>
      <c r="I614" s="44">
        <v>0</v>
      </c>
      <c r="J614" s="44">
        <f>'NonPublic Enrollment'!$I614*0.2906</f>
        <v>0</v>
      </c>
      <c r="K614" s="44">
        <f>'NonPublic Enrollment'!$D614+'NonPublic Enrollment'!$F614+'NonPublic Enrollment'!$H614+'NonPublic Enrollment'!$J614</f>
        <v>101.56180000000001</v>
      </c>
      <c r="L614" s="37" t="s">
        <v>2562</v>
      </c>
    </row>
    <row r="615" spans="1:12">
      <c r="A615" s="38" t="s">
        <v>2561</v>
      </c>
      <c r="B615" s="38" t="str">
        <f>"059535"</f>
        <v>059535</v>
      </c>
      <c r="C615" s="38" t="s">
        <v>2708</v>
      </c>
      <c r="D615" s="45">
        <v>103</v>
      </c>
      <c r="E615" s="45">
        <v>70</v>
      </c>
      <c r="F615" s="45">
        <f>'NonPublic Enrollment'!$E615*0.1</f>
        <v>7</v>
      </c>
      <c r="G615" s="45">
        <v>7</v>
      </c>
      <c r="H615" s="45">
        <f>'NonPublic Enrollment'!$G615*0.7374</f>
        <v>5.1618000000000004</v>
      </c>
      <c r="I615" s="45">
        <v>0</v>
      </c>
      <c r="J615" s="45">
        <f>'NonPublic Enrollment'!$I615*0.2906</f>
        <v>0</v>
      </c>
      <c r="K615" s="45">
        <f>'NonPublic Enrollment'!$D615+'NonPublic Enrollment'!$F615+'NonPublic Enrollment'!$H615+'NonPublic Enrollment'!$J615</f>
        <v>115.1618</v>
      </c>
      <c r="L615" s="39" t="s">
        <v>2591</v>
      </c>
    </row>
    <row r="616" spans="1:12">
      <c r="A616" s="36" t="s">
        <v>2561</v>
      </c>
      <c r="B616" s="36" t="str">
        <f>"056036"</f>
        <v>056036</v>
      </c>
      <c r="C616" s="36" t="s">
        <v>2707</v>
      </c>
      <c r="D616" s="44">
        <v>162</v>
      </c>
      <c r="E616" s="44">
        <v>134</v>
      </c>
      <c r="F616" s="44">
        <f>'NonPublic Enrollment'!$E616*0.1</f>
        <v>13.4</v>
      </c>
      <c r="G616" s="44">
        <v>7</v>
      </c>
      <c r="H616" s="44">
        <f>'NonPublic Enrollment'!$G616*0.7374</f>
        <v>5.1618000000000004</v>
      </c>
      <c r="I616" s="44">
        <v>0</v>
      </c>
      <c r="J616" s="44">
        <f>'NonPublic Enrollment'!$I616*0.2906</f>
        <v>0</v>
      </c>
      <c r="K616" s="44">
        <f>'NonPublic Enrollment'!$D616+'NonPublic Enrollment'!$F616+'NonPublic Enrollment'!$H616+'NonPublic Enrollment'!$J616</f>
        <v>180.56180000000001</v>
      </c>
      <c r="L616" s="37" t="s">
        <v>2569</v>
      </c>
    </row>
    <row r="617" spans="1:12">
      <c r="A617" s="38" t="s">
        <v>2561</v>
      </c>
      <c r="B617" s="38" t="str">
        <f>"059626"</f>
        <v>059626</v>
      </c>
      <c r="C617" s="38" t="s">
        <v>2706</v>
      </c>
      <c r="D617" s="45">
        <v>173</v>
      </c>
      <c r="E617" s="45">
        <v>152</v>
      </c>
      <c r="F617" s="45">
        <f>'NonPublic Enrollment'!$E617*0.1</f>
        <v>15.200000000000001</v>
      </c>
      <c r="G617" s="45">
        <v>7</v>
      </c>
      <c r="H617" s="45">
        <f>'NonPublic Enrollment'!$G617*0.7374</f>
        <v>5.1618000000000004</v>
      </c>
      <c r="I617" s="45">
        <v>0</v>
      </c>
      <c r="J617" s="45">
        <f>'NonPublic Enrollment'!$I617*0.2906</f>
        <v>0</v>
      </c>
      <c r="K617" s="45">
        <f>'NonPublic Enrollment'!$D617+'NonPublic Enrollment'!$F617+'NonPublic Enrollment'!$H617+'NonPublic Enrollment'!$J617</f>
        <v>193.36179999999999</v>
      </c>
      <c r="L617" s="39" t="s">
        <v>2591</v>
      </c>
    </row>
    <row r="618" spans="1:12">
      <c r="A618" s="36" t="s">
        <v>2561</v>
      </c>
      <c r="B618" s="36" t="str">
        <f>"132316"</f>
        <v>132316</v>
      </c>
      <c r="C618" s="36" t="s">
        <v>2705</v>
      </c>
      <c r="D618" s="44">
        <v>59</v>
      </c>
      <c r="E618" s="44">
        <v>0</v>
      </c>
      <c r="F618" s="44">
        <f>'NonPublic Enrollment'!$E618*0.1</f>
        <v>0</v>
      </c>
      <c r="G618" s="44">
        <v>7</v>
      </c>
      <c r="H618" s="44">
        <f>'NonPublic Enrollment'!$G618*0.7374</f>
        <v>5.1618000000000004</v>
      </c>
      <c r="I618" s="44">
        <v>0</v>
      </c>
      <c r="J618" s="44">
        <f>'NonPublic Enrollment'!$I618*0.2906</f>
        <v>0</v>
      </c>
      <c r="K618" s="44">
        <f>'NonPublic Enrollment'!$D618+'NonPublic Enrollment'!$F618+'NonPublic Enrollment'!$H618+'NonPublic Enrollment'!$J618</f>
        <v>64.161799999999999</v>
      </c>
      <c r="L618" s="37" t="s">
        <v>2562</v>
      </c>
    </row>
    <row r="619" spans="1:12">
      <c r="A619" s="38" t="s">
        <v>2561</v>
      </c>
      <c r="B619" s="38" t="str">
        <f>"000479"</f>
        <v>000479</v>
      </c>
      <c r="C619" s="38" t="s">
        <v>2704</v>
      </c>
      <c r="D619" s="45">
        <v>25</v>
      </c>
      <c r="E619" s="45">
        <v>6</v>
      </c>
      <c r="F619" s="45">
        <f>'NonPublic Enrollment'!$E619*0.1</f>
        <v>0.60000000000000009</v>
      </c>
      <c r="G619" s="45">
        <v>6</v>
      </c>
      <c r="H619" s="45">
        <f>'NonPublic Enrollment'!$G619*0.7374</f>
        <v>4.4244000000000003</v>
      </c>
      <c r="I619" s="45">
        <v>0</v>
      </c>
      <c r="J619" s="45">
        <f>'NonPublic Enrollment'!$I619*0.2906</f>
        <v>0</v>
      </c>
      <c r="K619" s="45">
        <f>'NonPublic Enrollment'!$D619+'NonPublic Enrollment'!$F619+'NonPublic Enrollment'!$H619+'NonPublic Enrollment'!$J619</f>
        <v>30.0244</v>
      </c>
      <c r="L619" s="39" t="s">
        <v>2562</v>
      </c>
    </row>
    <row r="620" spans="1:12">
      <c r="A620" s="36" t="s">
        <v>2561</v>
      </c>
      <c r="B620" s="36" t="str">
        <f>"056416"</f>
        <v>056416</v>
      </c>
      <c r="C620" s="36" t="s">
        <v>2703</v>
      </c>
      <c r="D620" s="44">
        <v>137</v>
      </c>
      <c r="E620" s="44">
        <v>8</v>
      </c>
      <c r="F620" s="44">
        <f>'NonPublic Enrollment'!$E620*0.1</f>
        <v>0.8</v>
      </c>
      <c r="G620" s="44">
        <v>6</v>
      </c>
      <c r="H620" s="44">
        <f>'NonPublic Enrollment'!$G620*0.7374</f>
        <v>4.4244000000000003</v>
      </c>
      <c r="I620" s="44">
        <v>0</v>
      </c>
      <c r="J620" s="44">
        <f>'NonPublic Enrollment'!$I620*0.2906</f>
        <v>0</v>
      </c>
      <c r="K620" s="44">
        <f>'NonPublic Enrollment'!$D620+'NonPublic Enrollment'!$F620+'NonPublic Enrollment'!$H620+'NonPublic Enrollment'!$J620</f>
        <v>142.2244</v>
      </c>
      <c r="L620" s="37" t="s">
        <v>2562</v>
      </c>
    </row>
    <row r="621" spans="1:12">
      <c r="A621" s="38" t="s">
        <v>2561</v>
      </c>
      <c r="B621" s="38" t="str">
        <f>"058560"</f>
        <v>058560</v>
      </c>
      <c r="C621" s="38" t="s">
        <v>2671</v>
      </c>
      <c r="D621" s="45">
        <v>78</v>
      </c>
      <c r="E621" s="45">
        <v>12</v>
      </c>
      <c r="F621" s="45">
        <f>'NonPublic Enrollment'!$E621*0.1</f>
        <v>1.2000000000000002</v>
      </c>
      <c r="G621" s="45">
        <v>6</v>
      </c>
      <c r="H621" s="45">
        <f>'NonPublic Enrollment'!$G621*0.7374</f>
        <v>4.4244000000000003</v>
      </c>
      <c r="I621" s="45">
        <v>0</v>
      </c>
      <c r="J621" s="45">
        <f>'NonPublic Enrollment'!$I621*0.2906</f>
        <v>0</v>
      </c>
      <c r="K621" s="45">
        <f>'NonPublic Enrollment'!$D621+'NonPublic Enrollment'!$F621+'NonPublic Enrollment'!$H621+'NonPublic Enrollment'!$J621</f>
        <v>83.624400000000009</v>
      </c>
      <c r="L621" s="39" t="s">
        <v>2562</v>
      </c>
    </row>
    <row r="622" spans="1:12">
      <c r="A622" s="36" t="s">
        <v>2561</v>
      </c>
      <c r="B622" s="36" t="str">
        <f>"058339"</f>
        <v>058339</v>
      </c>
      <c r="C622" s="36" t="s">
        <v>2660</v>
      </c>
      <c r="D622" s="44">
        <v>88</v>
      </c>
      <c r="E622" s="44">
        <v>13</v>
      </c>
      <c r="F622" s="44">
        <f>'NonPublic Enrollment'!$E622*0.1</f>
        <v>1.3</v>
      </c>
      <c r="G622" s="44">
        <v>6</v>
      </c>
      <c r="H622" s="44">
        <f>'NonPublic Enrollment'!$G622*0.7374</f>
        <v>4.4244000000000003</v>
      </c>
      <c r="I622" s="44">
        <v>0</v>
      </c>
      <c r="J622" s="44">
        <f>'NonPublic Enrollment'!$I622*0.2906</f>
        <v>0</v>
      </c>
      <c r="K622" s="44">
        <f>'NonPublic Enrollment'!$D622+'NonPublic Enrollment'!$F622+'NonPublic Enrollment'!$H622+'NonPublic Enrollment'!$J622</f>
        <v>93.724400000000003</v>
      </c>
      <c r="L622" s="37" t="s">
        <v>2586</v>
      </c>
    </row>
    <row r="623" spans="1:12">
      <c r="A623" s="38" t="s">
        <v>2561</v>
      </c>
      <c r="B623" s="38" t="str">
        <f>"055434"</f>
        <v>055434</v>
      </c>
      <c r="C623" s="38" t="s">
        <v>2702</v>
      </c>
      <c r="D623" s="45">
        <v>141</v>
      </c>
      <c r="E623" s="45">
        <v>29</v>
      </c>
      <c r="F623" s="45">
        <f>'NonPublic Enrollment'!$E623*0.1</f>
        <v>2.9000000000000004</v>
      </c>
      <c r="G623" s="45">
        <v>6</v>
      </c>
      <c r="H623" s="45">
        <f>'NonPublic Enrollment'!$G623*0.7374</f>
        <v>4.4244000000000003</v>
      </c>
      <c r="I623" s="45">
        <v>0</v>
      </c>
      <c r="J623" s="45">
        <f>'NonPublic Enrollment'!$I623*0.2906</f>
        <v>0</v>
      </c>
      <c r="K623" s="45">
        <f>'NonPublic Enrollment'!$D623+'NonPublic Enrollment'!$F623+'NonPublic Enrollment'!$H623+'NonPublic Enrollment'!$J623</f>
        <v>148.3244</v>
      </c>
      <c r="L623" s="39" t="s">
        <v>2591</v>
      </c>
    </row>
    <row r="624" spans="1:12">
      <c r="A624" s="36" t="s">
        <v>2561</v>
      </c>
      <c r="B624" s="36" t="str">
        <f>"057422"</f>
        <v>057422</v>
      </c>
      <c r="C624" s="36" t="s">
        <v>2701</v>
      </c>
      <c r="D624" s="44">
        <v>504</v>
      </c>
      <c r="E624" s="44">
        <v>29</v>
      </c>
      <c r="F624" s="44">
        <f>'NonPublic Enrollment'!$E624*0.1</f>
        <v>2.9000000000000004</v>
      </c>
      <c r="G624" s="44">
        <v>6</v>
      </c>
      <c r="H624" s="44">
        <f>'NonPublic Enrollment'!$G624*0.7374</f>
        <v>4.4244000000000003</v>
      </c>
      <c r="I624" s="44">
        <v>0</v>
      </c>
      <c r="J624" s="44">
        <f>'NonPublic Enrollment'!$I624*0.2906</f>
        <v>0</v>
      </c>
      <c r="K624" s="44">
        <f>'NonPublic Enrollment'!$D624+'NonPublic Enrollment'!$F624+'NonPublic Enrollment'!$H624+'NonPublic Enrollment'!$J624</f>
        <v>511.32439999999997</v>
      </c>
      <c r="L624" s="37" t="s">
        <v>2562</v>
      </c>
    </row>
    <row r="625" spans="1:12">
      <c r="A625" s="38" t="s">
        <v>2561</v>
      </c>
      <c r="B625" s="38" t="str">
        <f>"054882"</f>
        <v>054882</v>
      </c>
      <c r="C625" s="38" t="s">
        <v>2700</v>
      </c>
      <c r="D625" s="45">
        <v>213</v>
      </c>
      <c r="E625" s="45">
        <v>33</v>
      </c>
      <c r="F625" s="45">
        <f>'NonPublic Enrollment'!$E625*0.1</f>
        <v>3.3000000000000003</v>
      </c>
      <c r="G625" s="45">
        <v>6</v>
      </c>
      <c r="H625" s="45">
        <f>'NonPublic Enrollment'!$G625*0.7374</f>
        <v>4.4244000000000003</v>
      </c>
      <c r="I625" s="45">
        <v>0</v>
      </c>
      <c r="J625" s="45">
        <f>'NonPublic Enrollment'!$I625*0.2906</f>
        <v>0</v>
      </c>
      <c r="K625" s="45">
        <f>'NonPublic Enrollment'!$D625+'NonPublic Enrollment'!$F625+'NonPublic Enrollment'!$H625+'NonPublic Enrollment'!$J625</f>
        <v>220.7244</v>
      </c>
      <c r="L625" s="39" t="s">
        <v>2591</v>
      </c>
    </row>
    <row r="626" spans="1:12">
      <c r="A626" s="36" t="s">
        <v>2561</v>
      </c>
      <c r="B626" s="36" t="str">
        <f>"057729"</f>
        <v>057729</v>
      </c>
      <c r="C626" s="36" t="s">
        <v>2699</v>
      </c>
      <c r="D626" s="44">
        <v>84</v>
      </c>
      <c r="E626" s="44">
        <v>47</v>
      </c>
      <c r="F626" s="44">
        <f>'NonPublic Enrollment'!$E626*0.1</f>
        <v>4.7</v>
      </c>
      <c r="G626" s="44">
        <v>6</v>
      </c>
      <c r="H626" s="44">
        <f>'NonPublic Enrollment'!$G626*0.7374</f>
        <v>4.4244000000000003</v>
      </c>
      <c r="I626" s="44">
        <v>0</v>
      </c>
      <c r="J626" s="44">
        <f>'NonPublic Enrollment'!$I626*0.2906</f>
        <v>0</v>
      </c>
      <c r="K626" s="44">
        <f>'NonPublic Enrollment'!$D626+'NonPublic Enrollment'!$F626+'NonPublic Enrollment'!$H626+'NonPublic Enrollment'!$J626</f>
        <v>93.124400000000009</v>
      </c>
      <c r="L626" s="37" t="s">
        <v>2562</v>
      </c>
    </row>
    <row r="627" spans="1:12">
      <c r="A627" s="38" t="s">
        <v>2561</v>
      </c>
      <c r="B627" s="38" t="str">
        <f>"060004"</f>
        <v>060004</v>
      </c>
      <c r="C627" s="38" t="s">
        <v>2698</v>
      </c>
      <c r="D627" s="45">
        <v>180</v>
      </c>
      <c r="E627" s="45">
        <v>156</v>
      </c>
      <c r="F627" s="45">
        <f>'NonPublic Enrollment'!$E627*0.1</f>
        <v>15.600000000000001</v>
      </c>
      <c r="G627" s="45">
        <v>6</v>
      </c>
      <c r="H627" s="45">
        <f>'NonPublic Enrollment'!$G627*0.7374</f>
        <v>4.4244000000000003</v>
      </c>
      <c r="I627" s="45">
        <v>0</v>
      </c>
      <c r="J627" s="45">
        <f>'NonPublic Enrollment'!$I627*0.2906</f>
        <v>0</v>
      </c>
      <c r="K627" s="45">
        <f>'NonPublic Enrollment'!$D627+'NonPublic Enrollment'!$F627+'NonPublic Enrollment'!$H627+'NonPublic Enrollment'!$J627</f>
        <v>200.02439999999999</v>
      </c>
      <c r="L627" s="39" t="s">
        <v>2591</v>
      </c>
    </row>
    <row r="628" spans="1:12">
      <c r="A628" s="36" t="s">
        <v>2561</v>
      </c>
      <c r="B628" s="36" t="str">
        <f>"010210"</f>
        <v>010210</v>
      </c>
      <c r="C628" s="36" t="s">
        <v>2697</v>
      </c>
      <c r="D628" s="44">
        <v>128</v>
      </c>
      <c r="E628" s="44">
        <v>0</v>
      </c>
      <c r="F628" s="44">
        <f>'NonPublic Enrollment'!$E628*0.1</f>
        <v>0</v>
      </c>
      <c r="G628" s="44">
        <v>6</v>
      </c>
      <c r="H628" s="44">
        <f>'NonPublic Enrollment'!$G628*0.7374</f>
        <v>4.4244000000000003</v>
      </c>
      <c r="I628" s="44">
        <v>0</v>
      </c>
      <c r="J628" s="44">
        <f>'NonPublic Enrollment'!$I628*0.2906</f>
        <v>0</v>
      </c>
      <c r="K628" s="44">
        <f>'NonPublic Enrollment'!$D628+'NonPublic Enrollment'!$F628+'NonPublic Enrollment'!$H628+'NonPublic Enrollment'!$J628</f>
        <v>132.42439999999999</v>
      </c>
      <c r="L628" s="37" t="s">
        <v>2569</v>
      </c>
    </row>
    <row r="629" spans="1:12">
      <c r="A629" s="38" t="s">
        <v>2561</v>
      </c>
      <c r="B629" s="38" t="str">
        <f>"017029"</f>
        <v>017029</v>
      </c>
      <c r="C629" s="38" t="s">
        <v>2696</v>
      </c>
      <c r="D629" s="45">
        <v>36</v>
      </c>
      <c r="E629" s="45">
        <v>0</v>
      </c>
      <c r="F629" s="45">
        <f>'NonPublic Enrollment'!$E629*0.1</f>
        <v>0</v>
      </c>
      <c r="G629" s="45">
        <v>6</v>
      </c>
      <c r="H629" s="45">
        <f>'NonPublic Enrollment'!$G629*0.7374</f>
        <v>4.4244000000000003</v>
      </c>
      <c r="I629" s="45">
        <v>0</v>
      </c>
      <c r="J629" s="45">
        <f>'NonPublic Enrollment'!$I629*0.2906</f>
        <v>0</v>
      </c>
      <c r="K629" s="45">
        <f>'NonPublic Enrollment'!$D629+'NonPublic Enrollment'!$F629+'NonPublic Enrollment'!$H629+'NonPublic Enrollment'!$J629</f>
        <v>40.424399999999999</v>
      </c>
      <c r="L629" s="39" t="s">
        <v>2562</v>
      </c>
    </row>
    <row r="630" spans="1:12">
      <c r="A630" s="36" t="s">
        <v>2561</v>
      </c>
      <c r="B630" s="36" t="str">
        <f>"095364"</f>
        <v>095364</v>
      </c>
      <c r="C630" s="36" t="s">
        <v>2695</v>
      </c>
      <c r="D630" s="44">
        <v>101</v>
      </c>
      <c r="E630" s="44">
        <v>0</v>
      </c>
      <c r="F630" s="44">
        <f>'NonPublic Enrollment'!$E630*0.1</f>
        <v>0</v>
      </c>
      <c r="G630" s="44">
        <v>6</v>
      </c>
      <c r="H630" s="44">
        <f>'NonPublic Enrollment'!$G630*0.7374</f>
        <v>4.4244000000000003</v>
      </c>
      <c r="I630" s="44">
        <v>0</v>
      </c>
      <c r="J630" s="44">
        <f>'NonPublic Enrollment'!$I630*0.2906</f>
        <v>0</v>
      </c>
      <c r="K630" s="44">
        <f>'NonPublic Enrollment'!$D630+'NonPublic Enrollment'!$F630+'NonPublic Enrollment'!$H630+'NonPublic Enrollment'!$J630</f>
        <v>105.42440000000001</v>
      </c>
      <c r="L630" s="37" t="s">
        <v>2562</v>
      </c>
    </row>
    <row r="631" spans="1:12">
      <c r="A631" s="38" t="s">
        <v>2561</v>
      </c>
      <c r="B631" s="38" t="str">
        <f>"057950"</f>
        <v>057950</v>
      </c>
      <c r="C631" s="38" t="s">
        <v>2694</v>
      </c>
      <c r="D631" s="45">
        <v>145</v>
      </c>
      <c r="E631" s="45">
        <v>0</v>
      </c>
      <c r="F631" s="45">
        <f>'NonPublic Enrollment'!$E631*0.1</f>
        <v>0</v>
      </c>
      <c r="G631" s="45">
        <v>5</v>
      </c>
      <c r="H631" s="45">
        <f>'NonPublic Enrollment'!$G631*0.7374</f>
        <v>3.6870000000000003</v>
      </c>
      <c r="I631" s="45">
        <v>0</v>
      </c>
      <c r="J631" s="45">
        <f>'NonPublic Enrollment'!$I631*0.2906</f>
        <v>0</v>
      </c>
      <c r="K631" s="45">
        <f>'NonPublic Enrollment'!$D631+'NonPublic Enrollment'!$F631+'NonPublic Enrollment'!$H631+'NonPublic Enrollment'!$J631</f>
        <v>148.68700000000001</v>
      </c>
      <c r="L631" s="39" t="s">
        <v>2591</v>
      </c>
    </row>
    <row r="632" spans="1:12">
      <c r="A632" s="36" t="s">
        <v>2561</v>
      </c>
      <c r="B632" s="36" t="str">
        <f>"062497"</f>
        <v>062497</v>
      </c>
      <c r="C632" s="36" t="s">
        <v>2693</v>
      </c>
      <c r="D632" s="44">
        <v>129</v>
      </c>
      <c r="E632" s="44">
        <v>2</v>
      </c>
      <c r="F632" s="44">
        <f>'NonPublic Enrollment'!$E632*0.1</f>
        <v>0.2</v>
      </c>
      <c r="G632" s="44">
        <v>5</v>
      </c>
      <c r="H632" s="44">
        <f>'NonPublic Enrollment'!$G632*0.7374</f>
        <v>3.6870000000000003</v>
      </c>
      <c r="I632" s="44">
        <v>0</v>
      </c>
      <c r="J632" s="44">
        <f>'NonPublic Enrollment'!$I632*0.2906</f>
        <v>0</v>
      </c>
      <c r="K632" s="44">
        <f>'NonPublic Enrollment'!$D632+'NonPublic Enrollment'!$F632+'NonPublic Enrollment'!$H632+'NonPublic Enrollment'!$J632</f>
        <v>132.887</v>
      </c>
      <c r="L632" s="37" t="s">
        <v>2562</v>
      </c>
    </row>
    <row r="633" spans="1:12">
      <c r="A633" s="38" t="s">
        <v>2561</v>
      </c>
      <c r="B633" s="38" t="str">
        <f>"058842"</f>
        <v>058842</v>
      </c>
      <c r="C633" s="38" t="s">
        <v>2692</v>
      </c>
      <c r="D633" s="45">
        <v>29</v>
      </c>
      <c r="E633" s="45">
        <v>6</v>
      </c>
      <c r="F633" s="45">
        <f>'NonPublic Enrollment'!$E633*0.1</f>
        <v>0.60000000000000009</v>
      </c>
      <c r="G633" s="45">
        <v>5</v>
      </c>
      <c r="H633" s="45">
        <f>'NonPublic Enrollment'!$G633*0.7374</f>
        <v>3.6870000000000003</v>
      </c>
      <c r="I633" s="45">
        <v>0</v>
      </c>
      <c r="J633" s="45">
        <f>'NonPublic Enrollment'!$I633*0.2906</f>
        <v>0</v>
      </c>
      <c r="K633" s="45">
        <f>'NonPublic Enrollment'!$D633+'NonPublic Enrollment'!$F633+'NonPublic Enrollment'!$H633+'NonPublic Enrollment'!$J633</f>
        <v>33.286999999999999</v>
      </c>
      <c r="L633" s="39" t="s">
        <v>2591</v>
      </c>
    </row>
    <row r="634" spans="1:12">
      <c r="A634" s="36" t="s">
        <v>2561</v>
      </c>
      <c r="B634" s="36" t="str">
        <f>"058404"</f>
        <v>058404</v>
      </c>
      <c r="C634" s="36" t="s">
        <v>2689</v>
      </c>
      <c r="D634" s="44">
        <v>124</v>
      </c>
      <c r="E634" s="44">
        <v>10</v>
      </c>
      <c r="F634" s="44">
        <f>'NonPublic Enrollment'!$E634*0.1</f>
        <v>1</v>
      </c>
      <c r="G634" s="44">
        <v>5</v>
      </c>
      <c r="H634" s="44">
        <f>'NonPublic Enrollment'!$G634*0.7374</f>
        <v>3.6870000000000003</v>
      </c>
      <c r="I634" s="44">
        <v>0</v>
      </c>
      <c r="J634" s="44">
        <f>'NonPublic Enrollment'!$I634*0.2906</f>
        <v>0</v>
      </c>
      <c r="K634" s="44">
        <f>'NonPublic Enrollment'!$D634+'NonPublic Enrollment'!$F634+'NonPublic Enrollment'!$H634+'NonPublic Enrollment'!$J634</f>
        <v>128.68700000000001</v>
      </c>
      <c r="L634" s="37" t="s">
        <v>2562</v>
      </c>
    </row>
    <row r="635" spans="1:12">
      <c r="A635" s="38" t="s">
        <v>2561</v>
      </c>
      <c r="B635" s="38" t="str">
        <f>"059436"</f>
        <v>059436</v>
      </c>
      <c r="C635" s="38" t="s">
        <v>2691</v>
      </c>
      <c r="D635" s="45">
        <v>57</v>
      </c>
      <c r="E635" s="45">
        <v>11</v>
      </c>
      <c r="F635" s="45">
        <f>'NonPublic Enrollment'!$E635*0.1</f>
        <v>1.1000000000000001</v>
      </c>
      <c r="G635" s="45">
        <v>5</v>
      </c>
      <c r="H635" s="45">
        <f>'NonPublic Enrollment'!$G635*0.7374</f>
        <v>3.6870000000000003</v>
      </c>
      <c r="I635" s="45">
        <v>0</v>
      </c>
      <c r="J635" s="45">
        <f>'NonPublic Enrollment'!$I635*0.2906</f>
        <v>0</v>
      </c>
      <c r="K635" s="45">
        <f>'NonPublic Enrollment'!$D635+'NonPublic Enrollment'!$F635+'NonPublic Enrollment'!$H635+'NonPublic Enrollment'!$J635</f>
        <v>61.786999999999999</v>
      </c>
      <c r="L635" s="39" t="s">
        <v>2591</v>
      </c>
    </row>
    <row r="636" spans="1:12">
      <c r="A636" s="36" t="s">
        <v>2561</v>
      </c>
      <c r="B636" s="36" t="str">
        <f>"059022"</f>
        <v>059022</v>
      </c>
      <c r="C636" s="36" t="s">
        <v>2690</v>
      </c>
      <c r="D636" s="44">
        <v>70</v>
      </c>
      <c r="E636" s="44">
        <v>15</v>
      </c>
      <c r="F636" s="44">
        <f>'NonPublic Enrollment'!$E636*0.1</f>
        <v>1.5</v>
      </c>
      <c r="G636" s="44">
        <v>5</v>
      </c>
      <c r="H636" s="44">
        <f>'NonPublic Enrollment'!$G636*0.7374</f>
        <v>3.6870000000000003</v>
      </c>
      <c r="I636" s="44">
        <v>0</v>
      </c>
      <c r="J636" s="44">
        <f>'NonPublic Enrollment'!$I636*0.2906</f>
        <v>0</v>
      </c>
      <c r="K636" s="44">
        <f>'NonPublic Enrollment'!$D636+'NonPublic Enrollment'!$F636+'NonPublic Enrollment'!$H636+'NonPublic Enrollment'!$J636</f>
        <v>75.186999999999998</v>
      </c>
      <c r="L636" s="37" t="s">
        <v>2591</v>
      </c>
    </row>
    <row r="637" spans="1:12">
      <c r="A637" s="38" t="s">
        <v>2561</v>
      </c>
      <c r="B637" s="38" t="str">
        <f>"055335"</f>
        <v>055335</v>
      </c>
      <c r="C637" s="38" t="s">
        <v>2689</v>
      </c>
      <c r="D637" s="45">
        <v>81</v>
      </c>
      <c r="E637" s="45">
        <v>20</v>
      </c>
      <c r="F637" s="45">
        <f>'NonPublic Enrollment'!$E637*0.1</f>
        <v>2</v>
      </c>
      <c r="G637" s="45">
        <v>5</v>
      </c>
      <c r="H637" s="45">
        <f>'NonPublic Enrollment'!$G637*0.7374</f>
        <v>3.6870000000000003</v>
      </c>
      <c r="I637" s="45">
        <v>0</v>
      </c>
      <c r="J637" s="45">
        <f>'NonPublic Enrollment'!$I637*0.2906</f>
        <v>0</v>
      </c>
      <c r="K637" s="45">
        <f>'NonPublic Enrollment'!$D637+'NonPublic Enrollment'!$F637+'NonPublic Enrollment'!$H637+'NonPublic Enrollment'!$J637</f>
        <v>86.686999999999998</v>
      </c>
      <c r="L637" s="39" t="s">
        <v>2591</v>
      </c>
    </row>
    <row r="638" spans="1:12">
      <c r="A638" s="36" t="s">
        <v>2561</v>
      </c>
      <c r="B638" s="36" t="str">
        <f>"059170"</f>
        <v>059170</v>
      </c>
      <c r="C638" s="36" t="s">
        <v>2689</v>
      </c>
      <c r="D638" s="44">
        <v>76</v>
      </c>
      <c r="E638" s="44">
        <v>25</v>
      </c>
      <c r="F638" s="44">
        <f>'NonPublic Enrollment'!$E638*0.1</f>
        <v>2.5</v>
      </c>
      <c r="G638" s="44">
        <v>5</v>
      </c>
      <c r="H638" s="44">
        <f>'NonPublic Enrollment'!$G638*0.7374</f>
        <v>3.6870000000000003</v>
      </c>
      <c r="I638" s="44">
        <v>0</v>
      </c>
      <c r="J638" s="44">
        <f>'NonPublic Enrollment'!$I638*0.2906</f>
        <v>0</v>
      </c>
      <c r="K638" s="44">
        <f>'NonPublic Enrollment'!$D638+'NonPublic Enrollment'!$F638+'NonPublic Enrollment'!$H638+'NonPublic Enrollment'!$J638</f>
        <v>82.186999999999998</v>
      </c>
      <c r="L638" s="37" t="s">
        <v>2591</v>
      </c>
    </row>
    <row r="639" spans="1:12">
      <c r="A639" s="38" t="s">
        <v>2561</v>
      </c>
      <c r="B639" s="38" t="str">
        <f>"060368"</f>
        <v>060368</v>
      </c>
      <c r="C639" s="38" t="s">
        <v>2688</v>
      </c>
      <c r="D639" s="45">
        <v>130</v>
      </c>
      <c r="E639" s="45">
        <v>48</v>
      </c>
      <c r="F639" s="45">
        <f>'NonPublic Enrollment'!$E639*0.1</f>
        <v>4.8000000000000007</v>
      </c>
      <c r="G639" s="45">
        <v>5</v>
      </c>
      <c r="H639" s="45">
        <f>'NonPublic Enrollment'!$G639*0.7374</f>
        <v>3.6870000000000003</v>
      </c>
      <c r="I639" s="45">
        <v>0</v>
      </c>
      <c r="J639" s="45">
        <f>'NonPublic Enrollment'!$I639*0.2906</f>
        <v>0</v>
      </c>
      <c r="K639" s="45">
        <f>'NonPublic Enrollment'!$D639+'NonPublic Enrollment'!$F639+'NonPublic Enrollment'!$H639+'NonPublic Enrollment'!$J639</f>
        <v>138.48700000000002</v>
      </c>
      <c r="L639" s="39" t="s">
        <v>2591</v>
      </c>
    </row>
    <row r="640" spans="1:12">
      <c r="A640" s="36" t="s">
        <v>2561</v>
      </c>
      <c r="B640" s="36" t="str">
        <f>"056440"</f>
        <v>056440</v>
      </c>
      <c r="C640" s="36" t="s">
        <v>2687</v>
      </c>
      <c r="D640" s="44">
        <v>202</v>
      </c>
      <c r="E640" s="44">
        <v>49</v>
      </c>
      <c r="F640" s="44">
        <f>'NonPublic Enrollment'!$E640*0.1</f>
        <v>4.9000000000000004</v>
      </c>
      <c r="G640" s="44">
        <v>5</v>
      </c>
      <c r="H640" s="44">
        <f>'NonPublic Enrollment'!$G640*0.7374</f>
        <v>3.6870000000000003</v>
      </c>
      <c r="I640" s="44">
        <v>0</v>
      </c>
      <c r="J640" s="44">
        <f>'NonPublic Enrollment'!$I640*0.2906</f>
        <v>0</v>
      </c>
      <c r="K640" s="44">
        <f>'NonPublic Enrollment'!$D640+'NonPublic Enrollment'!$F640+'NonPublic Enrollment'!$H640+'NonPublic Enrollment'!$J640</f>
        <v>210.58700000000002</v>
      </c>
      <c r="L640" s="37" t="s">
        <v>2569</v>
      </c>
    </row>
    <row r="641" spans="1:12">
      <c r="A641" s="38" t="s">
        <v>2561</v>
      </c>
      <c r="B641" s="38" t="str">
        <f>"094268"</f>
        <v>094268</v>
      </c>
      <c r="C641" s="38" t="s">
        <v>2686</v>
      </c>
      <c r="D641" s="45">
        <v>138</v>
      </c>
      <c r="E641" s="45">
        <v>55</v>
      </c>
      <c r="F641" s="45">
        <f>'NonPublic Enrollment'!$E641*0.1</f>
        <v>5.5</v>
      </c>
      <c r="G641" s="45">
        <v>5</v>
      </c>
      <c r="H641" s="45">
        <f>'NonPublic Enrollment'!$G641*0.7374</f>
        <v>3.6870000000000003</v>
      </c>
      <c r="I641" s="45">
        <v>0</v>
      </c>
      <c r="J641" s="45">
        <f>'NonPublic Enrollment'!$I641*0.2906</f>
        <v>0</v>
      </c>
      <c r="K641" s="45">
        <f>'NonPublic Enrollment'!$D641+'NonPublic Enrollment'!$F641+'NonPublic Enrollment'!$H641+'NonPublic Enrollment'!$J641</f>
        <v>147.18700000000001</v>
      </c>
      <c r="L641" s="39" t="s">
        <v>2569</v>
      </c>
    </row>
    <row r="642" spans="1:12">
      <c r="A642" s="36" t="s">
        <v>2561</v>
      </c>
      <c r="B642" s="36" t="str">
        <f>"017547"</f>
        <v>017547</v>
      </c>
      <c r="C642" s="36" t="s">
        <v>2685</v>
      </c>
      <c r="D642" s="44">
        <v>111</v>
      </c>
      <c r="E642" s="44">
        <v>0</v>
      </c>
      <c r="F642" s="44">
        <f>'NonPublic Enrollment'!$E642*0.1</f>
        <v>0</v>
      </c>
      <c r="G642" s="44">
        <v>5</v>
      </c>
      <c r="H642" s="44">
        <f>'NonPublic Enrollment'!$G642*0.7374</f>
        <v>3.6870000000000003</v>
      </c>
      <c r="I642" s="44">
        <v>0</v>
      </c>
      <c r="J642" s="44">
        <f>'NonPublic Enrollment'!$I642*0.2906</f>
        <v>0</v>
      </c>
      <c r="K642" s="44">
        <f>'NonPublic Enrollment'!$D642+'NonPublic Enrollment'!$F642+'NonPublic Enrollment'!$H642+'NonPublic Enrollment'!$J642</f>
        <v>114.687</v>
      </c>
      <c r="L642" s="37" t="s">
        <v>2595</v>
      </c>
    </row>
    <row r="643" spans="1:12">
      <c r="A643" s="38" t="s">
        <v>2561</v>
      </c>
      <c r="B643" s="38" t="str">
        <f>"053355"</f>
        <v>053355</v>
      </c>
      <c r="C643" s="38" t="s">
        <v>2684</v>
      </c>
      <c r="D643" s="45">
        <v>207</v>
      </c>
      <c r="E643" s="45">
        <v>2</v>
      </c>
      <c r="F643" s="45">
        <f>'NonPublic Enrollment'!$E643*0.1</f>
        <v>0.2</v>
      </c>
      <c r="G643" s="45">
        <v>4</v>
      </c>
      <c r="H643" s="45">
        <f>'NonPublic Enrollment'!$G643*0.7374</f>
        <v>2.9496000000000002</v>
      </c>
      <c r="I643" s="45">
        <v>0</v>
      </c>
      <c r="J643" s="45">
        <f>'NonPublic Enrollment'!$I643*0.2906</f>
        <v>0</v>
      </c>
      <c r="K643" s="45">
        <f>'NonPublic Enrollment'!$D643+'NonPublic Enrollment'!$F643+'NonPublic Enrollment'!$H643+'NonPublic Enrollment'!$J643</f>
        <v>210.14959999999999</v>
      </c>
      <c r="L643" s="39" t="s">
        <v>2562</v>
      </c>
    </row>
    <row r="644" spans="1:12">
      <c r="A644" s="36" t="s">
        <v>2561</v>
      </c>
      <c r="B644" s="36" t="str">
        <f>"010187"</f>
        <v>010187</v>
      </c>
      <c r="C644" s="36" t="s">
        <v>2683</v>
      </c>
      <c r="D644" s="44">
        <v>98</v>
      </c>
      <c r="E644" s="44">
        <v>9</v>
      </c>
      <c r="F644" s="44">
        <f>'NonPublic Enrollment'!$E644*0.1</f>
        <v>0.9</v>
      </c>
      <c r="G644" s="44">
        <v>4</v>
      </c>
      <c r="H644" s="44">
        <f>'NonPublic Enrollment'!$G644*0.7374</f>
        <v>2.9496000000000002</v>
      </c>
      <c r="I644" s="44">
        <v>0</v>
      </c>
      <c r="J644" s="44">
        <f>'NonPublic Enrollment'!$I644*0.2906</f>
        <v>0</v>
      </c>
      <c r="K644" s="44">
        <f>'NonPublic Enrollment'!$D644+'NonPublic Enrollment'!$F644+'NonPublic Enrollment'!$H644+'NonPublic Enrollment'!$J644</f>
        <v>101.84960000000001</v>
      </c>
      <c r="L644" s="37" t="s">
        <v>2682</v>
      </c>
    </row>
    <row r="645" spans="1:12">
      <c r="A645" s="38" t="s">
        <v>2561</v>
      </c>
      <c r="B645" s="38" t="str">
        <f>"058834"</f>
        <v>058834</v>
      </c>
      <c r="C645" s="38" t="s">
        <v>2681</v>
      </c>
      <c r="D645" s="45">
        <v>42</v>
      </c>
      <c r="E645" s="45">
        <v>11</v>
      </c>
      <c r="F645" s="45">
        <f>'NonPublic Enrollment'!$E645*0.1</f>
        <v>1.1000000000000001</v>
      </c>
      <c r="G645" s="45">
        <v>4</v>
      </c>
      <c r="H645" s="45">
        <f>'NonPublic Enrollment'!$G645*0.7374</f>
        <v>2.9496000000000002</v>
      </c>
      <c r="I645" s="45">
        <v>0</v>
      </c>
      <c r="J645" s="45">
        <f>'NonPublic Enrollment'!$I645*0.2906</f>
        <v>0</v>
      </c>
      <c r="K645" s="45">
        <f>'NonPublic Enrollment'!$D645+'NonPublic Enrollment'!$F645+'NonPublic Enrollment'!$H645+'NonPublic Enrollment'!$J645</f>
        <v>46.049599999999998</v>
      </c>
      <c r="L645" s="39" t="s">
        <v>2580</v>
      </c>
    </row>
    <row r="646" spans="1:12">
      <c r="A646" s="36" t="s">
        <v>2561</v>
      </c>
      <c r="B646" s="36" t="str">
        <f>"053728"</f>
        <v>053728</v>
      </c>
      <c r="C646" s="36" t="s">
        <v>2680</v>
      </c>
      <c r="D646" s="44">
        <v>60</v>
      </c>
      <c r="E646" s="44">
        <v>20</v>
      </c>
      <c r="F646" s="44">
        <f>'NonPublic Enrollment'!$E646*0.1</f>
        <v>2</v>
      </c>
      <c r="G646" s="44">
        <v>4</v>
      </c>
      <c r="H646" s="44">
        <f>'NonPublic Enrollment'!$G646*0.7374</f>
        <v>2.9496000000000002</v>
      </c>
      <c r="I646" s="44">
        <v>0</v>
      </c>
      <c r="J646" s="44">
        <f>'NonPublic Enrollment'!$I646*0.2906</f>
        <v>0</v>
      </c>
      <c r="K646" s="44">
        <f>'NonPublic Enrollment'!$D646+'NonPublic Enrollment'!$F646+'NonPublic Enrollment'!$H646+'NonPublic Enrollment'!$J646</f>
        <v>64.949600000000004</v>
      </c>
      <c r="L646" s="37" t="s">
        <v>2562</v>
      </c>
    </row>
    <row r="647" spans="1:12">
      <c r="A647" s="38" t="s">
        <v>2561</v>
      </c>
      <c r="B647" s="38" t="str">
        <f>"060962"</f>
        <v>060962</v>
      </c>
      <c r="C647" s="38" t="s">
        <v>2679</v>
      </c>
      <c r="D647" s="45">
        <v>325</v>
      </c>
      <c r="E647" s="45">
        <v>20</v>
      </c>
      <c r="F647" s="45">
        <f>'NonPublic Enrollment'!$E647*0.1</f>
        <v>2</v>
      </c>
      <c r="G647" s="45">
        <v>4</v>
      </c>
      <c r="H647" s="45">
        <f>'NonPublic Enrollment'!$G647*0.7374</f>
        <v>2.9496000000000002</v>
      </c>
      <c r="I647" s="45">
        <v>0</v>
      </c>
      <c r="J647" s="45">
        <f>'NonPublic Enrollment'!$I647*0.2906</f>
        <v>0</v>
      </c>
      <c r="K647" s="45">
        <f>'NonPublic Enrollment'!$D647+'NonPublic Enrollment'!$F647+'NonPublic Enrollment'!$H647+'NonPublic Enrollment'!$J647</f>
        <v>329.94959999999998</v>
      </c>
      <c r="L647" s="39" t="s">
        <v>2586</v>
      </c>
    </row>
    <row r="648" spans="1:12">
      <c r="A648" s="36" t="s">
        <v>2561</v>
      </c>
      <c r="B648" s="36" t="str">
        <f>"125260"</f>
        <v>125260</v>
      </c>
      <c r="C648" s="36" t="s">
        <v>2678</v>
      </c>
      <c r="D648" s="44">
        <v>44</v>
      </c>
      <c r="E648" s="44">
        <v>33</v>
      </c>
      <c r="F648" s="44">
        <f>'NonPublic Enrollment'!$E648*0.1</f>
        <v>3.3000000000000003</v>
      </c>
      <c r="G648" s="44">
        <v>4</v>
      </c>
      <c r="H648" s="44">
        <f>'NonPublic Enrollment'!$G648*0.7374</f>
        <v>2.9496000000000002</v>
      </c>
      <c r="I648" s="44">
        <v>0</v>
      </c>
      <c r="J648" s="44">
        <f>'NonPublic Enrollment'!$I648*0.2906</f>
        <v>0</v>
      </c>
      <c r="K648" s="44">
        <f>'NonPublic Enrollment'!$D648+'NonPublic Enrollment'!$F648+'NonPublic Enrollment'!$H648+'NonPublic Enrollment'!$J648</f>
        <v>50.249600000000001</v>
      </c>
      <c r="L648" s="37" t="s">
        <v>2562</v>
      </c>
    </row>
    <row r="649" spans="1:12">
      <c r="A649" s="38" t="s">
        <v>2561</v>
      </c>
      <c r="B649" s="38" t="str">
        <f>"089979"</f>
        <v>089979</v>
      </c>
      <c r="C649" s="38" t="s">
        <v>2677</v>
      </c>
      <c r="D649" s="45">
        <v>206</v>
      </c>
      <c r="E649" s="45">
        <v>0</v>
      </c>
      <c r="F649" s="45">
        <f>'NonPublic Enrollment'!$E649*0.1</f>
        <v>0</v>
      </c>
      <c r="G649" s="45">
        <v>4</v>
      </c>
      <c r="H649" s="45">
        <f>'NonPublic Enrollment'!$G649*0.7374</f>
        <v>2.9496000000000002</v>
      </c>
      <c r="I649" s="45">
        <v>0</v>
      </c>
      <c r="J649" s="45">
        <f>'NonPublic Enrollment'!$I649*0.2906</f>
        <v>0</v>
      </c>
      <c r="K649" s="45">
        <f>'NonPublic Enrollment'!$D649+'NonPublic Enrollment'!$F649+'NonPublic Enrollment'!$H649+'NonPublic Enrollment'!$J649</f>
        <v>208.9496</v>
      </c>
      <c r="L649" s="39" t="s">
        <v>2569</v>
      </c>
    </row>
    <row r="650" spans="1:12">
      <c r="A650" s="36" t="s">
        <v>2561</v>
      </c>
      <c r="B650" s="36" t="str">
        <f>"094250"</f>
        <v>094250</v>
      </c>
      <c r="C650" s="36" t="s">
        <v>2676</v>
      </c>
      <c r="D650" s="44">
        <v>109</v>
      </c>
      <c r="E650" s="44">
        <v>0</v>
      </c>
      <c r="F650" s="44">
        <f>'NonPublic Enrollment'!$E650*0.1</f>
        <v>0</v>
      </c>
      <c r="G650" s="44">
        <v>4</v>
      </c>
      <c r="H650" s="44">
        <f>'NonPublic Enrollment'!$G650*0.7374</f>
        <v>2.9496000000000002</v>
      </c>
      <c r="I650" s="44">
        <v>0</v>
      </c>
      <c r="J650" s="44">
        <f>'NonPublic Enrollment'!$I650*0.2906</f>
        <v>0</v>
      </c>
      <c r="K650" s="44">
        <f>'NonPublic Enrollment'!$D650+'NonPublic Enrollment'!$F650+'NonPublic Enrollment'!$H650+'NonPublic Enrollment'!$J650</f>
        <v>111.9496</v>
      </c>
      <c r="L650" s="37" t="s">
        <v>2562</v>
      </c>
    </row>
    <row r="651" spans="1:12">
      <c r="A651" s="38" t="s">
        <v>2561</v>
      </c>
      <c r="B651" s="38" t="str">
        <f>"134304"</f>
        <v>134304</v>
      </c>
      <c r="C651" s="38" t="s">
        <v>2675</v>
      </c>
      <c r="D651" s="45">
        <v>69</v>
      </c>
      <c r="E651" s="45">
        <v>0</v>
      </c>
      <c r="F651" s="45">
        <f>'NonPublic Enrollment'!$E651*0.1</f>
        <v>0</v>
      </c>
      <c r="G651" s="45">
        <v>4</v>
      </c>
      <c r="H651" s="45">
        <f>'NonPublic Enrollment'!$G651*0.7374</f>
        <v>2.9496000000000002</v>
      </c>
      <c r="I651" s="45">
        <v>0</v>
      </c>
      <c r="J651" s="45">
        <f>'NonPublic Enrollment'!$I651*0.2906</f>
        <v>0</v>
      </c>
      <c r="K651" s="45">
        <f>'NonPublic Enrollment'!$D651+'NonPublic Enrollment'!$F651+'NonPublic Enrollment'!$H651+'NonPublic Enrollment'!$J651</f>
        <v>71.949600000000004</v>
      </c>
      <c r="L651" s="39" t="s">
        <v>2572</v>
      </c>
    </row>
    <row r="652" spans="1:12">
      <c r="A652" s="36" t="s">
        <v>2561</v>
      </c>
      <c r="B652" s="36" t="str">
        <f>"059139"</f>
        <v>059139</v>
      </c>
      <c r="C652" s="36" t="s">
        <v>2674</v>
      </c>
      <c r="D652" s="44">
        <v>36</v>
      </c>
      <c r="E652" s="44">
        <v>8</v>
      </c>
      <c r="F652" s="44">
        <f>'NonPublic Enrollment'!$E652*0.1</f>
        <v>0.8</v>
      </c>
      <c r="G652" s="44">
        <v>3</v>
      </c>
      <c r="H652" s="44">
        <f>'NonPublic Enrollment'!$G652*0.7374</f>
        <v>2.2122000000000002</v>
      </c>
      <c r="I652" s="44">
        <v>0</v>
      </c>
      <c r="J652" s="44">
        <f>'NonPublic Enrollment'!$I652*0.2906</f>
        <v>0</v>
      </c>
      <c r="K652" s="44">
        <f>'NonPublic Enrollment'!$D652+'NonPublic Enrollment'!$F652+'NonPublic Enrollment'!$H652+'NonPublic Enrollment'!$J652</f>
        <v>39.0122</v>
      </c>
      <c r="L652" s="37" t="s">
        <v>2562</v>
      </c>
    </row>
    <row r="653" spans="1:12">
      <c r="A653" s="38" t="s">
        <v>2561</v>
      </c>
      <c r="B653" s="38" t="str">
        <f>"059360"</f>
        <v>059360</v>
      </c>
      <c r="C653" s="38" t="s">
        <v>2673</v>
      </c>
      <c r="D653" s="45">
        <v>124</v>
      </c>
      <c r="E653" s="45">
        <v>8</v>
      </c>
      <c r="F653" s="45">
        <f>'NonPublic Enrollment'!$E653*0.1</f>
        <v>0.8</v>
      </c>
      <c r="G653" s="45">
        <v>3</v>
      </c>
      <c r="H653" s="45">
        <f>'NonPublic Enrollment'!$G653*0.7374</f>
        <v>2.2122000000000002</v>
      </c>
      <c r="I653" s="45">
        <v>0</v>
      </c>
      <c r="J653" s="45">
        <f>'NonPublic Enrollment'!$I653*0.2906</f>
        <v>0</v>
      </c>
      <c r="K653" s="45">
        <f>'NonPublic Enrollment'!$D653+'NonPublic Enrollment'!$F653+'NonPublic Enrollment'!$H653+'NonPublic Enrollment'!$J653</f>
        <v>127.01219999999999</v>
      </c>
      <c r="L653" s="39" t="s">
        <v>2591</v>
      </c>
    </row>
    <row r="654" spans="1:12">
      <c r="A654" s="36" t="s">
        <v>2561</v>
      </c>
      <c r="B654" s="36" t="str">
        <f>"057562"</f>
        <v>057562</v>
      </c>
      <c r="C654" s="36" t="s">
        <v>2672</v>
      </c>
      <c r="D654" s="44">
        <v>102</v>
      </c>
      <c r="E654" s="44">
        <v>9</v>
      </c>
      <c r="F654" s="44">
        <f>'NonPublic Enrollment'!$E654*0.1</f>
        <v>0.9</v>
      </c>
      <c r="G654" s="44">
        <v>3</v>
      </c>
      <c r="H654" s="44">
        <f>'NonPublic Enrollment'!$G654*0.7374</f>
        <v>2.2122000000000002</v>
      </c>
      <c r="I654" s="44">
        <v>0</v>
      </c>
      <c r="J654" s="44">
        <f>'NonPublic Enrollment'!$I654*0.2906</f>
        <v>0</v>
      </c>
      <c r="K654" s="44">
        <f>'NonPublic Enrollment'!$D654+'NonPublic Enrollment'!$F654+'NonPublic Enrollment'!$H654+'NonPublic Enrollment'!$J654</f>
        <v>105.1122</v>
      </c>
      <c r="L654" s="37" t="s">
        <v>2586</v>
      </c>
    </row>
    <row r="655" spans="1:12">
      <c r="A655" s="38" t="s">
        <v>2561</v>
      </c>
      <c r="B655" s="38" t="str">
        <f>"057679"</f>
        <v>057679</v>
      </c>
      <c r="C655" s="38" t="s">
        <v>2671</v>
      </c>
      <c r="D655" s="45">
        <v>71</v>
      </c>
      <c r="E655" s="45">
        <v>9</v>
      </c>
      <c r="F655" s="45">
        <f>'NonPublic Enrollment'!$E655*0.1</f>
        <v>0.9</v>
      </c>
      <c r="G655" s="45">
        <v>3</v>
      </c>
      <c r="H655" s="45">
        <f>'NonPublic Enrollment'!$G655*0.7374</f>
        <v>2.2122000000000002</v>
      </c>
      <c r="I655" s="45">
        <v>0</v>
      </c>
      <c r="J655" s="45">
        <f>'NonPublic Enrollment'!$I655*0.2906</f>
        <v>0</v>
      </c>
      <c r="K655" s="45">
        <f>'NonPublic Enrollment'!$D655+'NonPublic Enrollment'!$F655+'NonPublic Enrollment'!$H655+'NonPublic Enrollment'!$J655</f>
        <v>74.112200000000001</v>
      </c>
      <c r="L655" s="39" t="s">
        <v>2591</v>
      </c>
    </row>
    <row r="656" spans="1:12">
      <c r="A656" s="36" t="s">
        <v>2561</v>
      </c>
      <c r="B656" s="36" t="str">
        <f>"056689"</f>
        <v>056689</v>
      </c>
      <c r="C656" s="36" t="s">
        <v>2670</v>
      </c>
      <c r="D656" s="44">
        <v>112</v>
      </c>
      <c r="E656" s="44">
        <v>15</v>
      </c>
      <c r="F656" s="44">
        <f>'NonPublic Enrollment'!$E656*0.1</f>
        <v>1.5</v>
      </c>
      <c r="G656" s="44">
        <v>3</v>
      </c>
      <c r="H656" s="44">
        <f>'NonPublic Enrollment'!$G656*0.7374</f>
        <v>2.2122000000000002</v>
      </c>
      <c r="I656" s="44">
        <v>0</v>
      </c>
      <c r="J656" s="44">
        <f>'NonPublic Enrollment'!$I656*0.2906</f>
        <v>0</v>
      </c>
      <c r="K656" s="44">
        <f>'NonPublic Enrollment'!$D656+'NonPublic Enrollment'!$F656+'NonPublic Enrollment'!$H656+'NonPublic Enrollment'!$J656</f>
        <v>115.7122</v>
      </c>
      <c r="L656" s="37" t="s">
        <v>2569</v>
      </c>
    </row>
    <row r="657" spans="1:12">
      <c r="A657" s="38" t="s">
        <v>2561</v>
      </c>
      <c r="B657" s="38" t="str">
        <f>"057570"</f>
        <v>057570</v>
      </c>
      <c r="C657" s="38" t="s">
        <v>2669</v>
      </c>
      <c r="D657" s="45">
        <v>143</v>
      </c>
      <c r="E657" s="45">
        <v>16</v>
      </c>
      <c r="F657" s="45">
        <f>'NonPublic Enrollment'!$E657*0.1</f>
        <v>1.6</v>
      </c>
      <c r="G657" s="45">
        <v>3</v>
      </c>
      <c r="H657" s="45">
        <f>'NonPublic Enrollment'!$G657*0.7374</f>
        <v>2.2122000000000002</v>
      </c>
      <c r="I657" s="45">
        <v>0</v>
      </c>
      <c r="J657" s="45">
        <f>'NonPublic Enrollment'!$I657*0.2906</f>
        <v>0</v>
      </c>
      <c r="K657" s="45">
        <f>'NonPublic Enrollment'!$D657+'NonPublic Enrollment'!$F657+'NonPublic Enrollment'!$H657+'NonPublic Enrollment'!$J657</f>
        <v>146.81219999999999</v>
      </c>
      <c r="L657" s="39" t="s">
        <v>2562</v>
      </c>
    </row>
    <row r="658" spans="1:12">
      <c r="A658" s="36" t="s">
        <v>2561</v>
      </c>
      <c r="B658" s="36" t="str">
        <f>"060574"</f>
        <v>060574</v>
      </c>
      <c r="C658" s="36" t="s">
        <v>2668</v>
      </c>
      <c r="D658" s="44">
        <v>108</v>
      </c>
      <c r="E658" s="44">
        <v>39</v>
      </c>
      <c r="F658" s="44">
        <f>'NonPublic Enrollment'!$E658*0.1</f>
        <v>3.9000000000000004</v>
      </c>
      <c r="G658" s="44">
        <v>3</v>
      </c>
      <c r="H658" s="44">
        <f>'NonPublic Enrollment'!$G658*0.7374</f>
        <v>2.2122000000000002</v>
      </c>
      <c r="I658" s="44">
        <v>0</v>
      </c>
      <c r="J658" s="44">
        <f>'NonPublic Enrollment'!$I658*0.2906</f>
        <v>0</v>
      </c>
      <c r="K658" s="44">
        <f>'NonPublic Enrollment'!$D658+'NonPublic Enrollment'!$F658+'NonPublic Enrollment'!$H658+'NonPublic Enrollment'!$J658</f>
        <v>114.1122</v>
      </c>
      <c r="L658" s="37" t="s">
        <v>2562</v>
      </c>
    </row>
    <row r="659" spans="1:12">
      <c r="A659" s="38" t="s">
        <v>2561</v>
      </c>
      <c r="B659" s="38" t="str">
        <f>"058370"</f>
        <v>058370</v>
      </c>
      <c r="C659" s="38" t="s">
        <v>2667</v>
      </c>
      <c r="D659" s="45">
        <v>96</v>
      </c>
      <c r="E659" s="45">
        <v>46</v>
      </c>
      <c r="F659" s="45">
        <f>'NonPublic Enrollment'!$E659*0.1</f>
        <v>4.6000000000000005</v>
      </c>
      <c r="G659" s="45">
        <v>3</v>
      </c>
      <c r="H659" s="45">
        <f>'NonPublic Enrollment'!$G659*0.7374</f>
        <v>2.2122000000000002</v>
      </c>
      <c r="I659" s="45">
        <v>0</v>
      </c>
      <c r="J659" s="45">
        <f>'NonPublic Enrollment'!$I659*0.2906</f>
        <v>0</v>
      </c>
      <c r="K659" s="45">
        <f>'NonPublic Enrollment'!$D659+'NonPublic Enrollment'!$F659+'NonPublic Enrollment'!$H659+'NonPublic Enrollment'!$J659</f>
        <v>102.81219999999999</v>
      </c>
      <c r="L659" s="39" t="s">
        <v>2562</v>
      </c>
    </row>
    <row r="660" spans="1:12">
      <c r="A660" s="36" t="s">
        <v>2561</v>
      </c>
      <c r="B660" s="36" t="str">
        <f>"113050"</f>
        <v>113050</v>
      </c>
      <c r="C660" s="36" t="s">
        <v>2666</v>
      </c>
      <c r="D660" s="44">
        <v>100</v>
      </c>
      <c r="E660" s="44">
        <v>81</v>
      </c>
      <c r="F660" s="44">
        <f>'NonPublic Enrollment'!$E660*0.1</f>
        <v>8.1</v>
      </c>
      <c r="G660" s="44">
        <v>3</v>
      </c>
      <c r="H660" s="44">
        <f>'NonPublic Enrollment'!$G660*0.7374</f>
        <v>2.2122000000000002</v>
      </c>
      <c r="I660" s="44">
        <v>0</v>
      </c>
      <c r="J660" s="44">
        <f>'NonPublic Enrollment'!$I660*0.2906</f>
        <v>0</v>
      </c>
      <c r="K660" s="44">
        <f>'NonPublic Enrollment'!$D660+'NonPublic Enrollment'!$F660+'NonPublic Enrollment'!$H660+'NonPublic Enrollment'!$J660</f>
        <v>110.31219999999999</v>
      </c>
      <c r="L660" s="37" t="s">
        <v>2562</v>
      </c>
    </row>
    <row r="661" spans="1:12">
      <c r="A661" s="38" t="s">
        <v>2561</v>
      </c>
      <c r="B661" s="38" t="str">
        <f>"057786"</f>
        <v>057786</v>
      </c>
      <c r="C661" s="38" t="s">
        <v>2665</v>
      </c>
      <c r="D661" s="45">
        <v>185</v>
      </c>
      <c r="E661" s="45">
        <v>146</v>
      </c>
      <c r="F661" s="45">
        <f>'NonPublic Enrollment'!$E661*0.1</f>
        <v>14.600000000000001</v>
      </c>
      <c r="G661" s="45">
        <v>3</v>
      </c>
      <c r="H661" s="45">
        <f>'NonPublic Enrollment'!$G661*0.7374</f>
        <v>2.2122000000000002</v>
      </c>
      <c r="I661" s="45">
        <v>0</v>
      </c>
      <c r="J661" s="45">
        <f>'NonPublic Enrollment'!$I661*0.2906</f>
        <v>0</v>
      </c>
      <c r="K661" s="45">
        <f>'NonPublic Enrollment'!$D661+'NonPublic Enrollment'!$F661+'NonPublic Enrollment'!$H661+'NonPublic Enrollment'!$J661</f>
        <v>201.81219999999999</v>
      </c>
      <c r="L661" s="39" t="s">
        <v>2591</v>
      </c>
    </row>
    <row r="662" spans="1:12">
      <c r="A662" s="36" t="s">
        <v>2561</v>
      </c>
      <c r="B662" s="36" t="str">
        <f>"017410"</f>
        <v>017410</v>
      </c>
      <c r="C662" s="36" t="s">
        <v>2664</v>
      </c>
      <c r="D662" s="44">
        <v>169</v>
      </c>
      <c r="E662" s="44">
        <v>0</v>
      </c>
      <c r="F662" s="44">
        <f>'NonPublic Enrollment'!$E662*0.1</f>
        <v>0</v>
      </c>
      <c r="G662" s="44">
        <v>3</v>
      </c>
      <c r="H662" s="44">
        <f>'NonPublic Enrollment'!$G662*0.7374</f>
        <v>2.2122000000000002</v>
      </c>
      <c r="I662" s="44">
        <v>0</v>
      </c>
      <c r="J662" s="44">
        <f>'NonPublic Enrollment'!$I662*0.2906</f>
        <v>0</v>
      </c>
      <c r="K662" s="44">
        <f>'NonPublic Enrollment'!$D662+'NonPublic Enrollment'!$F662+'NonPublic Enrollment'!$H662+'NonPublic Enrollment'!$J662</f>
        <v>171.2122</v>
      </c>
      <c r="L662" s="37" t="s">
        <v>2559</v>
      </c>
    </row>
    <row r="663" spans="1:12">
      <c r="A663" s="38" t="s">
        <v>2561</v>
      </c>
      <c r="B663" s="38" t="str">
        <f>"114751"</f>
        <v>114751</v>
      </c>
      <c r="C663" s="38" t="s">
        <v>2663</v>
      </c>
      <c r="D663" s="45">
        <v>19</v>
      </c>
      <c r="E663" s="45">
        <v>0</v>
      </c>
      <c r="F663" s="45">
        <f>'NonPublic Enrollment'!$E663*0.1</f>
        <v>0</v>
      </c>
      <c r="G663" s="45">
        <v>3</v>
      </c>
      <c r="H663" s="45">
        <f>'NonPublic Enrollment'!$G663*0.7374</f>
        <v>2.2122000000000002</v>
      </c>
      <c r="I663" s="45">
        <v>0</v>
      </c>
      <c r="J663" s="45">
        <f>'NonPublic Enrollment'!$I663*0.2906</f>
        <v>0</v>
      </c>
      <c r="K663" s="45">
        <f>'NonPublic Enrollment'!$D663+'NonPublic Enrollment'!$F663+'NonPublic Enrollment'!$H663+'NonPublic Enrollment'!$J663</f>
        <v>21.212199999999999</v>
      </c>
      <c r="L663" s="39" t="s">
        <v>2591</v>
      </c>
    </row>
    <row r="664" spans="1:12">
      <c r="A664" s="36" t="s">
        <v>2561</v>
      </c>
      <c r="B664" s="36" t="str">
        <f>"017161"</f>
        <v>017161</v>
      </c>
      <c r="C664" s="36" t="s">
        <v>2662</v>
      </c>
      <c r="D664" s="44">
        <v>7</v>
      </c>
      <c r="E664" s="44">
        <v>0</v>
      </c>
      <c r="F664" s="44">
        <f>'NonPublic Enrollment'!$E664*0.1</f>
        <v>0</v>
      </c>
      <c r="G664" s="44">
        <v>2</v>
      </c>
      <c r="H664" s="44">
        <f>'NonPublic Enrollment'!$G664*0.7374</f>
        <v>1.4748000000000001</v>
      </c>
      <c r="I664" s="44">
        <v>0</v>
      </c>
      <c r="J664" s="44">
        <f>'NonPublic Enrollment'!$I664*0.2906</f>
        <v>0</v>
      </c>
      <c r="K664" s="44">
        <f>'NonPublic Enrollment'!$D664+'NonPublic Enrollment'!$F664+'NonPublic Enrollment'!$H664+'NonPublic Enrollment'!$J664</f>
        <v>8.4748000000000001</v>
      </c>
      <c r="L664" s="37" t="s">
        <v>2562</v>
      </c>
    </row>
    <row r="665" spans="1:12">
      <c r="A665" s="38" t="s">
        <v>2561</v>
      </c>
      <c r="B665" s="38" t="str">
        <f>"060434"</f>
        <v>060434</v>
      </c>
      <c r="C665" s="38" t="s">
        <v>2619</v>
      </c>
      <c r="D665" s="45">
        <v>35</v>
      </c>
      <c r="E665" s="45">
        <v>1</v>
      </c>
      <c r="F665" s="45">
        <f>'NonPublic Enrollment'!$E665*0.1</f>
        <v>0.1</v>
      </c>
      <c r="G665" s="45">
        <v>2</v>
      </c>
      <c r="H665" s="45">
        <f>'NonPublic Enrollment'!$G665*0.7374</f>
        <v>1.4748000000000001</v>
      </c>
      <c r="I665" s="45">
        <v>0</v>
      </c>
      <c r="J665" s="45">
        <f>'NonPublic Enrollment'!$I665*0.2906</f>
        <v>0</v>
      </c>
      <c r="K665" s="45">
        <f>'NonPublic Enrollment'!$D665+'NonPublic Enrollment'!$F665+'NonPublic Enrollment'!$H665+'NonPublic Enrollment'!$J665</f>
        <v>36.574800000000003</v>
      </c>
      <c r="L665" s="39" t="s">
        <v>2562</v>
      </c>
    </row>
    <row r="666" spans="1:12">
      <c r="A666" s="36" t="s">
        <v>2561</v>
      </c>
      <c r="B666" s="36" t="str">
        <f>"133132"</f>
        <v>133132</v>
      </c>
      <c r="C666" s="36" t="s">
        <v>2661</v>
      </c>
      <c r="D666" s="44">
        <v>33</v>
      </c>
      <c r="E666" s="44">
        <v>12</v>
      </c>
      <c r="F666" s="44">
        <f>'NonPublic Enrollment'!$E666*0.1</f>
        <v>1.2000000000000002</v>
      </c>
      <c r="G666" s="44">
        <v>2</v>
      </c>
      <c r="H666" s="44">
        <f>'NonPublic Enrollment'!$G666*0.7374</f>
        <v>1.4748000000000001</v>
      </c>
      <c r="I666" s="44">
        <v>0</v>
      </c>
      <c r="J666" s="44">
        <f>'NonPublic Enrollment'!$I666*0.2906</f>
        <v>0</v>
      </c>
      <c r="K666" s="44">
        <f>'NonPublic Enrollment'!$D666+'NonPublic Enrollment'!$F666+'NonPublic Enrollment'!$H666+'NonPublic Enrollment'!$J666</f>
        <v>35.674800000000005</v>
      </c>
      <c r="L666" s="37" t="s">
        <v>2562</v>
      </c>
    </row>
    <row r="667" spans="1:12">
      <c r="A667" s="38" t="s">
        <v>2561</v>
      </c>
      <c r="B667" s="38" t="str">
        <f>"057919"</f>
        <v>057919</v>
      </c>
      <c r="C667" s="38" t="s">
        <v>2660</v>
      </c>
      <c r="D667" s="45">
        <v>62</v>
      </c>
      <c r="E667" s="45">
        <v>16</v>
      </c>
      <c r="F667" s="45">
        <f>'NonPublic Enrollment'!$E667*0.1</f>
        <v>1.6</v>
      </c>
      <c r="G667" s="45">
        <v>2</v>
      </c>
      <c r="H667" s="45">
        <f>'NonPublic Enrollment'!$G667*0.7374</f>
        <v>1.4748000000000001</v>
      </c>
      <c r="I667" s="45">
        <v>0</v>
      </c>
      <c r="J667" s="45">
        <f>'NonPublic Enrollment'!$I667*0.2906</f>
        <v>0</v>
      </c>
      <c r="K667" s="45">
        <f>'NonPublic Enrollment'!$D667+'NonPublic Enrollment'!$F667+'NonPublic Enrollment'!$H667+'NonPublic Enrollment'!$J667</f>
        <v>65.074799999999996</v>
      </c>
      <c r="L667" s="39" t="s">
        <v>2562</v>
      </c>
    </row>
    <row r="668" spans="1:12">
      <c r="A668" s="36" t="s">
        <v>2561</v>
      </c>
      <c r="B668" s="36" t="str">
        <f>"057125"</f>
        <v>057125</v>
      </c>
      <c r="C668" s="36" t="s">
        <v>2659</v>
      </c>
      <c r="D668" s="44">
        <v>111</v>
      </c>
      <c r="E668" s="44">
        <v>20</v>
      </c>
      <c r="F668" s="44">
        <f>'NonPublic Enrollment'!$E668*0.1</f>
        <v>2</v>
      </c>
      <c r="G668" s="44">
        <v>2</v>
      </c>
      <c r="H668" s="44">
        <f>'NonPublic Enrollment'!$G668*0.7374</f>
        <v>1.4748000000000001</v>
      </c>
      <c r="I668" s="44">
        <v>0</v>
      </c>
      <c r="J668" s="44">
        <f>'NonPublic Enrollment'!$I668*0.2906</f>
        <v>0</v>
      </c>
      <c r="K668" s="44">
        <f>'NonPublic Enrollment'!$D668+'NonPublic Enrollment'!$F668+'NonPublic Enrollment'!$H668+'NonPublic Enrollment'!$J668</f>
        <v>114.4748</v>
      </c>
      <c r="L668" s="37" t="s">
        <v>2586</v>
      </c>
    </row>
    <row r="669" spans="1:12">
      <c r="A669" s="38" t="s">
        <v>2561</v>
      </c>
      <c r="B669" s="38" t="str">
        <f>"017998"</f>
        <v>017998</v>
      </c>
      <c r="C669" s="38" t="s">
        <v>2658</v>
      </c>
      <c r="D669" s="45">
        <v>62</v>
      </c>
      <c r="E669" s="45">
        <v>34</v>
      </c>
      <c r="F669" s="45">
        <f>'NonPublic Enrollment'!$E669*0.1</f>
        <v>3.4000000000000004</v>
      </c>
      <c r="G669" s="45">
        <v>2</v>
      </c>
      <c r="H669" s="45">
        <f>'NonPublic Enrollment'!$G669*0.7374</f>
        <v>1.4748000000000001</v>
      </c>
      <c r="I669" s="45">
        <v>0</v>
      </c>
      <c r="J669" s="45">
        <f>'NonPublic Enrollment'!$I669*0.2906</f>
        <v>0</v>
      </c>
      <c r="K669" s="45">
        <f>'NonPublic Enrollment'!$D669+'NonPublic Enrollment'!$F669+'NonPublic Enrollment'!$H669+'NonPublic Enrollment'!$J669</f>
        <v>66.874800000000008</v>
      </c>
      <c r="L669" s="39" t="s">
        <v>2562</v>
      </c>
    </row>
    <row r="670" spans="1:12">
      <c r="A670" s="36" t="s">
        <v>2561</v>
      </c>
      <c r="B670" s="36" t="str">
        <f>"090456"</f>
        <v>090456</v>
      </c>
      <c r="C670" s="36" t="s">
        <v>2657</v>
      </c>
      <c r="D670" s="44">
        <v>129</v>
      </c>
      <c r="E670" s="44">
        <v>61</v>
      </c>
      <c r="F670" s="44">
        <f>'NonPublic Enrollment'!$E670*0.1</f>
        <v>6.1000000000000005</v>
      </c>
      <c r="G670" s="44">
        <v>2</v>
      </c>
      <c r="H670" s="44">
        <f>'NonPublic Enrollment'!$G670*0.7374</f>
        <v>1.4748000000000001</v>
      </c>
      <c r="I670" s="44">
        <v>0</v>
      </c>
      <c r="J670" s="44">
        <f>'NonPublic Enrollment'!$I670*0.2906</f>
        <v>0</v>
      </c>
      <c r="K670" s="44">
        <f>'NonPublic Enrollment'!$D670+'NonPublic Enrollment'!$F670+'NonPublic Enrollment'!$H670+'NonPublic Enrollment'!$J670</f>
        <v>136.57479999999998</v>
      </c>
      <c r="L670" s="37" t="s">
        <v>2562</v>
      </c>
    </row>
    <row r="671" spans="1:12">
      <c r="A671" s="38" t="s">
        <v>2561</v>
      </c>
      <c r="B671" s="38" t="str">
        <f>"090746"</f>
        <v>090746</v>
      </c>
      <c r="C671" s="38" t="s">
        <v>2656</v>
      </c>
      <c r="D671" s="45">
        <v>121</v>
      </c>
      <c r="E671" s="45">
        <v>68</v>
      </c>
      <c r="F671" s="45">
        <f>'NonPublic Enrollment'!$E671*0.1</f>
        <v>6.8000000000000007</v>
      </c>
      <c r="G671" s="45">
        <v>2</v>
      </c>
      <c r="H671" s="45">
        <f>'NonPublic Enrollment'!$G671*0.7374</f>
        <v>1.4748000000000001</v>
      </c>
      <c r="I671" s="45">
        <v>0</v>
      </c>
      <c r="J671" s="45">
        <f>'NonPublic Enrollment'!$I671*0.2906</f>
        <v>0</v>
      </c>
      <c r="K671" s="45">
        <f>'NonPublic Enrollment'!$D671+'NonPublic Enrollment'!$F671+'NonPublic Enrollment'!$H671+'NonPublic Enrollment'!$J671</f>
        <v>129.2748</v>
      </c>
      <c r="L671" s="39" t="s">
        <v>2562</v>
      </c>
    </row>
    <row r="672" spans="1:12">
      <c r="A672" s="36" t="s">
        <v>2561</v>
      </c>
      <c r="B672" s="36" t="str">
        <f>"062521"</f>
        <v>062521</v>
      </c>
      <c r="C672" s="36" t="s">
        <v>2655</v>
      </c>
      <c r="D672" s="44">
        <v>31</v>
      </c>
      <c r="E672" s="44">
        <v>0</v>
      </c>
      <c r="F672" s="44">
        <f>'NonPublic Enrollment'!$E672*0.1</f>
        <v>0</v>
      </c>
      <c r="G672" s="44">
        <v>2</v>
      </c>
      <c r="H672" s="44">
        <f>'NonPublic Enrollment'!$G672*0.7374</f>
        <v>1.4748000000000001</v>
      </c>
      <c r="I672" s="44">
        <v>0</v>
      </c>
      <c r="J672" s="44">
        <f>'NonPublic Enrollment'!$I672*0.2906</f>
        <v>0</v>
      </c>
      <c r="K672" s="44">
        <f>'NonPublic Enrollment'!$D672+'NonPublic Enrollment'!$F672+'NonPublic Enrollment'!$H672+'NonPublic Enrollment'!$J672</f>
        <v>32.474800000000002</v>
      </c>
      <c r="L672" s="37" t="s">
        <v>2569</v>
      </c>
    </row>
    <row r="673" spans="1:12">
      <c r="A673" s="38" t="s">
        <v>2561</v>
      </c>
      <c r="B673" s="38" t="str">
        <f>"133116"</f>
        <v>133116</v>
      </c>
      <c r="C673" s="38" t="s">
        <v>2654</v>
      </c>
      <c r="D673" s="45">
        <v>53</v>
      </c>
      <c r="E673" s="45">
        <v>0</v>
      </c>
      <c r="F673" s="45">
        <f>'NonPublic Enrollment'!$E673*0.1</f>
        <v>0</v>
      </c>
      <c r="G673" s="45">
        <v>2</v>
      </c>
      <c r="H673" s="45">
        <f>'NonPublic Enrollment'!$G673*0.7374</f>
        <v>1.4748000000000001</v>
      </c>
      <c r="I673" s="45">
        <v>0</v>
      </c>
      <c r="J673" s="45">
        <f>'NonPublic Enrollment'!$I673*0.2906</f>
        <v>0</v>
      </c>
      <c r="K673" s="45">
        <f>'NonPublic Enrollment'!$D673+'NonPublic Enrollment'!$F673+'NonPublic Enrollment'!$H673+'NonPublic Enrollment'!$J673</f>
        <v>54.474800000000002</v>
      </c>
      <c r="L673" s="39" t="s">
        <v>2569</v>
      </c>
    </row>
    <row r="674" spans="1:12">
      <c r="A674" s="36" t="s">
        <v>2561</v>
      </c>
      <c r="B674" s="36" t="str">
        <f>"059097"</f>
        <v>059097</v>
      </c>
      <c r="C674" s="36" t="s">
        <v>2625</v>
      </c>
      <c r="D674" s="44">
        <v>75</v>
      </c>
      <c r="E674" s="44">
        <v>1</v>
      </c>
      <c r="F674" s="44">
        <f>'NonPublic Enrollment'!$E674*0.1</f>
        <v>0.1</v>
      </c>
      <c r="G674" s="44">
        <v>1</v>
      </c>
      <c r="H674" s="44">
        <f>'NonPublic Enrollment'!$G674*0.7374</f>
        <v>0.73740000000000006</v>
      </c>
      <c r="I674" s="44">
        <v>0</v>
      </c>
      <c r="J674" s="44">
        <f>'NonPublic Enrollment'!$I674*0.2906</f>
        <v>0</v>
      </c>
      <c r="K674" s="44">
        <f>'NonPublic Enrollment'!$D674+'NonPublic Enrollment'!$F674+'NonPublic Enrollment'!$H674+'NonPublic Enrollment'!$J674</f>
        <v>75.837399999999988</v>
      </c>
      <c r="L674" s="37" t="s">
        <v>2580</v>
      </c>
    </row>
    <row r="675" spans="1:12">
      <c r="A675" s="38" t="s">
        <v>2561</v>
      </c>
      <c r="B675" s="38" t="str">
        <f>"070250"</f>
        <v>070250</v>
      </c>
      <c r="C675" s="38" t="s">
        <v>2653</v>
      </c>
      <c r="D675" s="45">
        <v>7</v>
      </c>
      <c r="E675" s="45">
        <v>5</v>
      </c>
      <c r="F675" s="45">
        <f>'NonPublic Enrollment'!$E675*0.1</f>
        <v>0.5</v>
      </c>
      <c r="G675" s="45">
        <v>1</v>
      </c>
      <c r="H675" s="45">
        <f>'NonPublic Enrollment'!$G675*0.7374</f>
        <v>0.73740000000000006</v>
      </c>
      <c r="I675" s="45">
        <v>0</v>
      </c>
      <c r="J675" s="45">
        <f>'NonPublic Enrollment'!$I675*0.2906</f>
        <v>0</v>
      </c>
      <c r="K675" s="45">
        <f>'NonPublic Enrollment'!$D675+'NonPublic Enrollment'!$F675+'NonPublic Enrollment'!$H675+'NonPublic Enrollment'!$J675</f>
        <v>8.2374000000000009</v>
      </c>
      <c r="L675" s="39" t="s">
        <v>2591</v>
      </c>
    </row>
    <row r="676" spans="1:12">
      <c r="A676" s="36" t="s">
        <v>2561</v>
      </c>
      <c r="B676" s="36" t="str">
        <f>"017510"</f>
        <v>017510</v>
      </c>
      <c r="C676" s="36" t="s">
        <v>2652</v>
      </c>
      <c r="D676" s="44">
        <v>64</v>
      </c>
      <c r="E676" s="44">
        <v>8</v>
      </c>
      <c r="F676" s="44">
        <f>'NonPublic Enrollment'!$E676*0.1</f>
        <v>0.8</v>
      </c>
      <c r="G676" s="44">
        <v>1</v>
      </c>
      <c r="H676" s="44">
        <f>'NonPublic Enrollment'!$G676*0.7374</f>
        <v>0.73740000000000006</v>
      </c>
      <c r="I676" s="44">
        <v>0</v>
      </c>
      <c r="J676" s="44">
        <f>'NonPublic Enrollment'!$I676*0.2906</f>
        <v>0</v>
      </c>
      <c r="K676" s="44">
        <f>'NonPublic Enrollment'!$D676+'NonPublic Enrollment'!$F676+'NonPublic Enrollment'!$H676+'NonPublic Enrollment'!$J676</f>
        <v>65.537399999999991</v>
      </c>
      <c r="L676" s="37" t="s">
        <v>2595</v>
      </c>
    </row>
    <row r="677" spans="1:12">
      <c r="A677" s="38" t="s">
        <v>2561</v>
      </c>
      <c r="B677" s="38" t="str">
        <f>"060863"</f>
        <v>060863</v>
      </c>
      <c r="C677" s="38" t="s">
        <v>2651</v>
      </c>
      <c r="D677" s="45">
        <v>67</v>
      </c>
      <c r="E677" s="45">
        <v>15</v>
      </c>
      <c r="F677" s="45">
        <f>'NonPublic Enrollment'!$E677*0.1</f>
        <v>1.5</v>
      </c>
      <c r="G677" s="45">
        <v>1</v>
      </c>
      <c r="H677" s="45">
        <f>'NonPublic Enrollment'!$G677*0.7374</f>
        <v>0.73740000000000006</v>
      </c>
      <c r="I677" s="45">
        <v>0</v>
      </c>
      <c r="J677" s="45">
        <f>'NonPublic Enrollment'!$I677*0.2906</f>
        <v>0</v>
      </c>
      <c r="K677" s="45">
        <f>'NonPublic Enrollment'!$D677+'NonPublic Enrollment'!$F677+'NonPublic Enrollment'!$H677+'NonPublic Enrollment'!$J677</f>
        <v>69.237399999999994</v>
      </c>
      <c r="L677" s="39" t="s">
        <v>2569</v>
      </c>
    </row>
    <row r="678" spans="1:12">
      <c r="A678" s="36" t="s">
        <v>2561</v>
      </c>
      <c r="B678" s="36" t="str">
        <f>"094946"</f>
        <v>094946</v>
      </c>
      <c r="C678" s="36" t="s">
        <v>2650</v>
      </c>
      <c r="D678" s="44">
        <v>38</v>
      </c>
      <c r="E678" s="44">
        <v>15</v>
      </c>
      <c r="F678" s="44">
        <f>'NonPublic Enrollment'!$E678*0.1</f>
        <v>1.5</v>
      </c>
      <c r="G678" s="44">
        <v>1</v>
      </c>
      <c r="H678" s="44">
        <f>'NonPublic Enrollment'!$G678*0.7374</f>
        <v>0.73740000000000006</v>
      </c>
      <c r="I678" s="44">
        <v>0</v>
      </c>
      <c r="J678" s="44">
        <f>'NonPublic Enrollment'!$I678*0.2906</f>
        <v>0</v>
      </c>
      <c r="K678" s="44">
        <f>'NonPublic Enrollment'!$D678+'NonPublic Enrollment'!$F678+'NonPublic Enrollment'!$H678+'NonPublic Enrollment'!$J678</f>
        <v>40.237400000000001</v>
      </c>
      <c r="L678" s="37" t="s">
        <v>2562</v>
      </c>
    </row>
    <row r="679" spans="1:12">
      <c r="A679" s="38" t="s">
        <v>2561</v>
      </c>
      <c r="B679" s="38" t="str">
        <f>"132399"</f>
        <v>132399</v>
      </c>
      <c r="C679" s="38" t="s">
        <v>2649</v>
      </c>
      <c r="D679" s="45">
        <v>99</v>
      </c>
      <c r="E679" s="45">
        <v>83</v>
      </c>
      <c r="F679" s="45">
        <f>'NonPublic Enrollment'!$E679*0.1</f>
        <v>8.3000000000000007</v>
      </c>
      <c r="G679" s="45">
        <v>1</v>
      </c>
      <c r="H679" s="45">
        <f>'NonPublic Enrollment'!$G679*0.7374</f>
        <v>0.73740000000000006</v>
      </c>
      <c r="I679" s="45">
        <v>0</v>
      </c>
      <c r="J679" s="45">
        <f>'NonPublic Enrollment'!$I679*0.2906</f>
        <v>0</v>
      </c>
      <c r="K679" s="45">
        <f>'NonPublic Enrollment'!$D679+'NonPublic Enrollment'!$F679+'NonPublic Enrollment'!$H679+'NonPublic Enrollment'!$J679</f>
        <v>108.03739999999999</v>
      </c>
      <c r="L679" s="39" t="s">
        <v>2562</v>
      </c>
    </row>
    <row r="680" spans="1:12">
      <c r="A680" s="36" t="s">
        <v>2561</v>
      </c>
      <c r="B680" s="36" t="str">
        <f>"053942"</f>
        <v>053942</v>
      </c>
      <c r="C680" s="36" t="s">
        <v>2648</v>
      </c>
      <c r="D680" s="44">
        <v>572</v>
      </c>
      <c r="E680" s="44">
        <v>0</v>
      </c>
      <c r="F680" s="44">
        <f>'NonPublic Enrollment'!$E680*0.1</f>
        <v>0</v>
      </c>
      <c r="G680" s="44">
        <v>1</v>
      </c>
      <c r="H680" s="44">
        <f>'NonPublic Enrollment'!$G680*0.7374</f>
        <v>0.73740000000000006</v>
      </c>
      <c r="I680" s="44">
        <v>0</v>
      </c>
      <c r="J680" s="44">
        <f>'NonPublic Enrollment'!$I680*0.2906</f>
        <v>0</v>
      </c>
      <c r="K680" s="44">
        <f>'NonPublic Enrollment'!$D680+'NonPublic Enrollment'!$F680+'NonPublic Enrollment'!$H680+'NonPublic Enrollment'!$J680</f>
        <v>572.73739999999998</v>
      </c>
      <c r="L680" s="37" t="s">
        <v>2562</v>
      </c>
    </row>
    <row r="681" spans="1:12">
      <c r="A681" s="38" t="s">
        <v>2561</v>
      </c>
      <c r="B681" s="38" t="str">
        <f>"096974"</f>
        <v>096974</v>
      </c>
      <c r="C681" s="38" t="s">
        <v>2647</v>
      </c>
      <c r="D681" s="45">
        <v>8</v>
      </c>
      <c r="E681" s="45">
        <v>0</v>
      </c>
      <c r="F681" s="45">
        <f>'NonPublic Enrollment'!$E681*0.1</f>
        <v>0</v>
      </c>
      <c r="G681" s="45">
        <v>1</v>
      </c>
      <c r="H681" s="45">
        <f>'NonPublic Enrollment'!$G681*0.7374</f>
        <v>0.73740000000000006</v>
      </c>
      <c r="I681" s="45">
        <v>0</v>
      </c>
      <c r="J681" s="45">
        <f>'NonPublic Enrollment'!$I681*0.2906</f>
        <v>0</v>
      </c>
      <c r="K681" s="45">
        <f>'NonPublic Enrollment'!$D681+'NonPublic Enrollment'!$F681+'NonPublic Enrollment'!$H681+'NonPublic Enrollment'!$J681</f>
        <v>8.7374000000000009</v>
      </c>
      <c r="L681" s="39" t="s">
        <v>2562</v>
      </c>
    </row>
    <row r="682" spans="1:12">
      <c r="A682" s="36" t="s">
        <v>2561</v>
      </c>
      <c r="B682" s="36" t="str">
        <f>"132936"</f>
        <v>132936</v>
      </c>
      <c r="C682" s="36" t="s">
        <v>2646</v>
      </c>
      <c r="D682" s="44">
        <v>16</v>
      </c>
      <c r="E682" s="44">
        <v>0</v>
      </c>
      <c r="F682" s="44">
        <f>'NonPublic Enrollment'!$E682*0.1</f>
        <v>0</v>
      </c>
      <c r="G682" s="44">
        <v>1</v>
      </c>
      <c r="H682" s="44">
        <f>'NonPublic Enrollment'!$G682*0.7374</f>
        <v>0.73740000000000006</v>
      </c>
      <c r="I682" s="44">
        <v>0</v>
      </c>
      <c r="J682" s="44">
        <f>'NonPublic Enrollment'!$I682*0.2906</f>
        <v>0</v>
      </c>
      <c r="K682" s="44">
        <f>'NonPublic Enrollment'!$D682+'NonPublic Enrollment'!$F682+'NonPublic Enrollment'!$H682+'NonPublic Enrollment'!$J682</f>
        <v>16.737400000000001</v>
      </c>
      <c r="L682" s="37" t="s">
        <v>2562</v>
      </c>
    </row>
    <row r="683" spans="1:12">
      <c r="A683" s="38" t="s">
        <v>2561</v>
      </c>
      <c r="B683" s="38" t="str">
        <f>"019151"</f>
        <v>019151</v>
      </c>
      <c r="C683" s="38" t="s">
        <v>2645</v>
      </c>
      <c r="D683" s="45">
        <v>25</v>
      </c>
      <c r="E683" s="45">
        <v>0</v>
      </c>
      <c r="F683" s="45">
        <f>'NonPublic Enrollment'!$E683*0.1</f>
        <v>0</v>
      </c>
      <c r="G683" s="45">
        <v>0</v>
      </c>
      <c r="H683" s="45">
        <f>'NonPublic Enrollment'!$G683*0.7374</f>
        <v>0</v>
      </c>
      <c r="I683" s="45">
        <v>0</v>
      </c>
      <c r="J683" s="45">
        <f>'NonPublic Enrollment'!$I683*0.2906</f>
        <v>0</v>
      </c>
      <c r="K683" s="45">
        <f>'NonPublic Enrollment'!$D683+'NonPublic Enrollment'!$F683+'NonPublic Enrollment'!$H683+'NonPublic Enrollment'!$J683</f>
        <v>25</v>
      </c>
      <c r="L683" s="39" t="s">
        <v>2595</v>
      </c>
    </row>
    <row r="684" spans="1:12">
      <c r="A684" s="36" t="s">
        <v>2561</v>
      </c>
      <c r="B684" s="36" t="str">
        <f>"088104"</f>
        <v>088104</v>
      </c>
      <c r="C684" s="36" t="s">
        <v>2644</v>
      </c>
      <c r="D684" s="44">
        <v>18</v>
      </c>
      <c r="E684" s="44">
        <v>0</v>
      </c>
      <c r="F684" s="44">
        <f>'NonPublic Enrollment'!$E684*0.1</f>
        <v>0</v>
      </c>
      <c r="G684" s="44">
        <v>0</v>
      </c>
      <c r="H684" s="44">
        <f>'NonPublic Enrollment'!$G684*0.7374</f>
        <v>0</v>
      </c>
      <c r="I684" s="44">
        <v>0</v>
      </c>
      <c r="J684" s="44">
        <f>'NonPublic Enrollment'!$I684*0.2906</f>
        <v>0</v>
      </c>
      <c r="K684" s="44">
        <f>'NonPublic Enrollment'!$D684+'NonPublic Enrollment'!$F684+'NonPublic Enrollment'!$H684+'NonPublic Enrollment'!$J684</f>
        <v>18</v>
      </c>
      <c r="L684" s="37" t="s">
        <v>2562</v>
      </c>
    </row>
    <row r="685" spans="1:12">
      <c r="A685" s="38" t="s">
        <v>2561</v>
      </c>
      <c r="B685" s="38" t="str">
        <f>"123133"</f>
        <v>123133</v>
      </c>
      <c r="C685" s="38" t="s">
        <v>2643</v>
      </c>
      <c r="D685" s="45">
        <v>10</v>
      </c>
      <c r="E685" s="45">
        <v>0</v>
      </c>
      <c r="F685" s="45">
        <f>'NonPublic Enrollment'!$E685*0.1</f>
        <v>0</v>
      </c>
      <c r="G685" s="45">
        <v>0</v>
      </c>
      <c r="H685" s="45">
        <f>'NonPublic Enrollment'!$G685*0.7374</f>
        <v>0</v>
      </c>
      <c r="I685" s="45">
        <v>0</v>
      </c>
      <c r="J685" s="45">
        <f>'NonPublic Enrollment'!$I685*0.2906</f>
        <v>0</v>
      </c>
      <c r="K685" s="45">
        <f>'NonPublic Enrollment'!$D685+'NonPublic Enrollment'!$F685+'NonPublic Enrollment'!$H685+'NonPublic Enrollment'!$J685</f>
        <v>10</v>
      </c>
      <c r="L685" s="39" t="s">
        <v>2562</v>
      </c>
    </row>
    <row r="686" spans="1:12">
      <c r="A686" s="36" t="s">
        <v>2561</v>
      </c>
      <c r="B686" s="36" t="str">
        <f>"134437"</f>
        <v>134437</v>
      </c>
      <c r="C686" s="36" t="s">
        <v>2642</v>
      </c>
      <c r="D686" s="44">
        <v>31</v>
      </c>
      <c r="E686" s="44">
        <v>0</v>
      </c>
      <c r="F686" s="44">
        <f>'NonPublic Enrollment'!$E686*0.1</f>
        <v>0</v>
      </c>
      <c r="G686" s="44">
        <v>0</v>
      </c>
      <c r="H686" s="44">
        <f>'NonPublic Enrollment'!$G686*0.7374</f>
        <v>0</v>
      </c>
      <c r="I686" s="44">
        <v>0</v>
      </c>
      <c r="J686" s="44">
        <f>'NonPublic Enrollment'!$I686*0.2906</f>
        <v>0</v>
      </c>
      <c r="K686" s="44">
        <f>'NonPublic Enrollment'!$D686+'NonPublic Enrollment'!$F686+'NonPublic Enrollment'!$H686+'NonPublic Enrollment'!$J686</f>
        <v>31</v>
      </c>
      <c r="L686" s="37" t="s">
        <v>2572</v>
      </c>
    </row>
    <row r="687" spans="1:12">
      <c r="A687" s="38" t="s">
        <v>2561</v>
      </c>
      <c r="B687" s="38" t="str">
        <f>"143008"</f>
        <v>143008</v>
      </c>
      <c r="C687" s="38" t="s">
        <v>2641</v>
      </c>
      <c r="D687" s="45">
        <v>171</v>
      </c>
      <c r="E687" s="45">
        <v>0</v>
      </c>
      <c r="F687" s="45">
        <f>'NonPublic Enrollment'!$E687*0.1</f>
        <v>0</v>
      </c>
      <c r="G687" s="45">
        <v>0</v>
      </c>
      <c r="H687" s="45">
        <f>'NonPublic Enrollment'!$G687*0.7374</f>
        <v>0</v>
      </c>
      <c r="I687" s="45">
        <v>0</v>
      </c>
      <c r="J687" s="45">
        <f>'NonPublic Enrollment'!$I687*0.2906</f>
        <v>0</v>
      </c>
      <c r="K687" s="45">
        <f>'NonPublic Enrollment'!$D687+'NonPublic Enrollment'!$F687+'NonPublic Enrollment'!$H687+'NonPublic Enrollment'!$J687</f>
        <v>171</v>
      </c>
      <c r="L687" s="39" t="s">
        <v>2562</v>
      </c>
    </row>
    <row r="688" spans="1:12">
      <c r="A688" s="36" t="s">
        <v>2561</v>
      </c>
      <c r="B688" s="36" t="str">
        <f>"009435"</f>
        <v>009435</v>
      </c>
      <c r="C688" s="36" t="s">
        <v>2640</v>
      </c>
      <c r="D688" s="44">
        <v>40</v>
      </c>
      <c r="E688" s="44">
        <v>4</v>
      </c>
      <c r="F688" s="44">
        <f>'NonPublic Enrollment'!$E688*0.1</f>
        <v>0.4</v>
      </c>
      <c r="G688" s="44">
        <v>0</v>
      </c>
      <c r="H688" s="44">
        <f>'NonPublic Enrollment'!$G688*0.7374</f>
        <v>0</v>
      </c>
      <c r="I688" s="44">
        <v>0</v>
      </c>
      <c r="J688" s="44">
        <f>'NonPublic Enrollment'!$I688*0.2906</f>
        <v>0</v>
      </c>
      <c r="K688" s="44">
        <f>'NonPublic Enrollment'!$D688+'NonPublic Enrollment'!$F688+'NonPublic Enrollment'!$H688+'NonPublic Enrollment'!$J688</f>
        <v>40.4</v>
      </c>
      <c r="L688" s="37" t="s">
        <v>2582</v>
      </c>
    </row>
    <row r="689" spans="1:12">
      <c r="A689" s="38" t="s">
        <v>2561</v>
      </c>
      <c r="B689" s="38" t="str">
        <f>"017333"</f>
        <v>017333</v>
      </c>
      <c r="C689" s="38" t="s">
        <v>2639</v>
      </c>
      <c r="D689" s="45">
        <v>42</v>
      </c>
      <c r="E689" s="45">
        <v>13</v>
      </c>
      <c r="F689" s="45">
        <f>'NonPublic Enrollment'!$E689*0.1</f>
        <v>1.3</v>
      </c>
      <c r="G689" s="45">
        <v>0</v>
      </c>
      <c r="H689" s="45">
        <f>'NonPublic Enrollment'!$G689*0.7374</f>
        <v>0</v>
      </c>
      <c r="I689" s="45">
        <v>0</v>
      </c>
      <c r="J689" s="45">
        <f>'NonPublic Enrollment'!$I689*0.2906</f>
        <v>0</v>
      </c>
      <c r="K689" s="45">
        <f>'NonPublic Enrollment'!$D689+'NonPublic Enrollment'!$F689+'NonPublic Enrollment'!$H689+'NonPublic Enrollment'!$J689</f>
        <v>43.3</v>
      </c>
      <c r="L689" s="39" t="s">
        <v>2562</v>
      </c>
    </row>
    <row r="690" spans="1:12">
      <c r="A690" s="36" t="s">
        <v>2561</v>
      </c>
      <c r="B690" s="36" t="str">
        <f>"060335"</f>
        <v>060335</v>
      </c>
      <c r="C690" s="36" t="s">
        <v>2638</v>
      </c>
      <c r="D690" s="44">
        <v>25</v>
      </c>
      <c r="E690" s="44">
        <v>14</v>
      </c>
      <c r="F690" s="44">
        <f>'NonPublic Enrollment'!$E690*0.1</f>
        <v>1.4000000000000001</v>
      </c>
      <c r="G690" s="44">
        <v>0</v>
      </c>
      <c r="H690" s="44">
        <f>'NonPublic Enrollment'!$G690*0.7374</f>
        <v>0</v>
      </c>
      <c r="I690" s="44">
        <v>0</v>
      </c>
      <c r="J690" s="44">
        <f>'NonPublic Enrollment'!$I690*0.2906</f>
        <v>0</v>
      </c>
      <c r="K690" s="44">
        <f>'NonPublic Enrollment'!$D690+'NonPublic Enrollment'!$F690+'NonPublic Enrollment'!$H690+'NonPublic Enrollment'!$J690</f>
        <v>26.4</v>
      </c>
      <c r="L690" s="37" t="s">
        <v>2591</v>
      </c>
    </row>
    <row r="691" spans="1:12">
      <c r="A691" s="38" t="s">
        <v>2561</v>
      </c>
      <c r="B691" s="38" t="str">
        <f>"096909"</f>
        <v>096909</v>
      </c>
      <c r="C691" s="38" t="s">
        <v>2637</v>
      </c>
      <c r="D691" s="45">
        <v>91</v>
      </c>
      <c r="E691" s="45">
        <v>16</v>
      </c>
      <c r="F691" s="45">
        <f>'NonPublic Enrollment'!$E691*0.1</f>
        <v>1.6</v>
      </c>
      <c r="G691" s="45">
        <v>0</v>
      </c>
      <c r="H691" s="45">
        <f>'NonPublic Enrollment'!$G691*0.7374</f>
        <v>0</v>
      </c>
      <c r="I691" s="45">
        <v>0</v>
      </c>
      <c r="J691" s="45">
        <f>'NonPublic Enrollment'!$I691*0.2906</f>
        <v>0</v>
      </c>
      <c r="K691" s="45">
        <f>'NonPublic Enrollment'!$D691+'NonPublic Enrollment'!$F691+'NonPublic Enrollment'!$H691+'NonPublic Enrollment'!$J691</f>
        <v>92.6</v>
      </c>
      <c r="L691" s="39" t="s">
        <v>2562</v>
      </c>
    </row>
    <row r="692" spans="1:12">
      <c r="A692" s="36" t="s">
        <v>2561</v>
      </c>
      <c r="B692" s="36" t="str">
        <f>"125997"</f>
        <v>125997</v>
      </c>
      <c r="C692" s="36" t="s">
        <v>2636</v>
      </c>
      <c r="D692" s="44">
        <v>18</v>
      </c>
      <c r="E692" s="44">
        <v>19</v>
      </c>
      <c r="F692" s="44">
        <f>'NonPublic Enrollment'!$E692*0.1</f>
        <v>1.9000000000000001</v>
      </c>
      <c r="G692" s="44">
        <v>0</v>
      </c>
      <c r="H692" s="44">
        <f>'NonPublic Enrollment'!$G692*0.7374</f>
        <v>0</v>
      </c>
      <c r="I692" s="44">
        <v>0</v>
      </c>
      <c r="J692" s="44">
        <f>'NonPublic Enrollment'!$I692*0.2906</f>
        <v>0</v>
      </c>
      <c r="K692" s="44">
        <f>'NonPublic Enrollment'!$D692+'NonPublic Enrollment'!$F692+'NonPublic Enrollment'!$H692+'NonPublic Enrollment'!$J692</f>
        <v>19.899999999999999</v>
      </c>
      <c r="L692" s="37" t="s">
        <v>2572</v>
      </c>
    </row>
    <row r="693" spans="1:12">
      <c r="A693" s="38" t="s">
        <v>2561</v>
      </c>
      <c r="B693" s="38" t="str">
        <f>"009443"</f>
        <v>009443</v>
      </c>
      <c r="C693" s="38" t="s">
        <v>2635</v>
      </c>
      <c r="D693" s="45">
        <v>111</v>
      </c>
      <c r="E693" s="45">
        <v>20</v>
      </c>
      <c r="F693" s="45">
        <f>'NonPublic Enrollment'!$E693*0.1</f>
        <v>2</v>
      </c>
      <c r="G693" s="45">
        <v>0</v>
      </c>
      <c r="H693" s="45">
        <f>'NonPublic Enrollment'!$G693*0.7374</f>
        <v>0</v>
      </c>
      <c r="I693" s="45">
        <v>0</v>
      </c>
      <c r="J693" s="45">
        <f>'NonPublic Enrollment'!$I693*0.2906</f>
        <v>0</v>
      </c>
      <c r="K693" s="45">
        <f>'NonPublic Enrollment'!$D693+'NonPublic Enrollment'!$F693+'NonPublic Enrollment'!$H693+'NonPublic Enrollment'!$J693</f>
        <v>113</v>
      </c>
      <c r="L693" s="39" t="s">
        <v>2562</v>
      </c>
    </row>
    <row r="694" spans="1:12">
      <c r="A694" s="36" t="s">
        <v>2561</v>
      </c>
      <c r="B694" s="36" t="str">
        <f>"016431"</f>
        <v>016431</v>
      </c>
      <c r="C694" s="36" t="s">
        <v>2634</v>
      </c>
      <c r="D694" s="44">
        <v>22</v>
      </c>
      <c r="E694" s="44">
        <v>20</v>
      </c>
      <c r="F694" s="44">
        <f>'NonPublic Enrollment'!$E694*0.1</f>
        <v>2</v>
      </c>
      <c r="G694" s="44">
        <v>0</v>
      </c>
      <c r="H694" s="44">
        <f>'NonPublic Enrollment'!$G694*0.7374</f>
        <v>0</v>
      </c>
      <c r="I694" s="44">
        <v>0</v>
      </c>
      <c r="J694" s="44">
        <f>'NonPublic Enrollment'!$I694*0.2906</f>
        <v>0</v>
      </c>
      <c r="K694" s="44">
        <f>'NonPublic Enrollment'!$D694+'NonPublic Enrollment'!$F694+'NonPublic Enrollment'!$H694+'NonPublic Enrollment'!$J694</f>
        <v>24</v>
      </c>
      <c r="L694" s="37" t="s">
        <v>2562</v>
      </c>
    </row>
    <row r="695" spans="1:12">
      <c r="A695" s="38" t="s">
        <v>2561</v>
      </c>
      <c r="B695" s="38" t="str">
        <f>"143230"</f>
        <v>143230</v>
      </c>
      <c r="C695" s="38" t="s">
        <v>2633</v>
      </c>
      <c r="D695" s="45">
        <v>29</v>
      </c>
      <c r="E695" s="45">
        <v>27</v>
      </c>
      <c r="F695" s="45">
        <f>'NonPublic Enrollment'!$E695*0.1</f>
        <v>2.7</v>
      </c>
      <c r="G695" s="45">
        <v>0</v>
      </c>
      <c r="H695" s="45">
        <f>'NonPublic Enrollment'!$G695*0.7374</f>
        <v>0</v>
      </c>
      <c r="I695" s="45">
        <v>0</v>
      </c>
      <c r="J695" s="45">
        <f>'NonPublic Enrollment'!$I695*0.2906</f>
        <v>0</v>
      </c>
      <c r="K695" s="45">
        <f>'NonPublic Enrollment'!$D695+'NonPublic Enrollment'!$F695+'NonPublic Enrollment'!$H695+'NonPublic Enrollment'!$J695</f>
        <v>31.7</v>
      </c>
      <c r="L695" s="39" t="s">
        <v>2562</v>
      </c>
    </row>
    <row r="696" spans="1:12">
      <c r="A696" s="36" t="s">
        <v>2561</v>
      </c>
      <c r="B696" s="36" t="str">
        <f>"062612"</f>
        <v>062612</v>
      </c>
      <c r="C696" s="36" t="s">
        <v>2632</v>
      </c>
      <c r="D696" s="44">
        <v>115</v>
      </c>
      <c r="E696" s="44">
        <v>29</v>
      </c>
      <c r="F696" s="44">
        <f>'NonPublic Enrollment'!$E696*0.1</f>
        <v>2.9000000000000004</v>
      </c>
      <c r="G696" s="44">
        <v>0</v>
      </c>
      <c r="H696" s="44">
        <f>'NonPublic Enrollment'!$G696*0.7374</f>
        <v>0</v>
      </c>
      <c r="I696" s="44">
        <v>0</v>
      </c>
      <c r="J696" s="44">
        <f>'NonPublic Enrollment'!$I696*0.2906</f>
        <v>0</v>
      </c>
      <c r="K696" s="44">
        <f>'NonPublic Enrollment'!$D696+'NonPublic Enrollment'!$F696+'NonPublic Enrollment'!$H696+'NonPublic Enrollment'!$J696</f>
        <v>117.9</v>
      </c>
      <c r="L696" s="37" t="s">
        <v>2572</v>
      </c>
    </row>
    <row r="697" spans="1:12">
      <c r="A697" s="38" t="s">
        <v>2561</v>
      </c>
      <c r="B697" s="38" t="str">
        <f>"013258"</f>
        <v>013258</v>
      </c>
      <c r="C697" s="38" t="s">
        <v>2631</v>
      </c>
      <c r="D697" s="45">
        <v>68</v>
      </c>
      <c r="E697" s="45">
        <v>30</v>
      </c>
      <c r="F697" s="45">
        <f>'NonPublic Enrollment'!$E697*0.1</f>
        <v>3</v>
      </c>
      <c r="G697" s="45">
        <v>0</v>
      </c>
      <c r="H697" s="45">
        <f>'NonPublic Enrollment'!$G697*0.7374</f>
        <v>0</v>
      </c>
      <c r="I697" s="45">
        <v>0</v>
      </c>
      <c r="J697" s="45">
        <f>'NonPublic Enrollment'!$I697*0.2906</f>
        <v>0</v>
      </c>
      <c r="K697" s="45">
        <f>'NonPublic Enrollment'!$D697+'NonPublic Enrollment'!$F697+'NonPublic Enrollment'!$H697+'NonPublic Enrollment'!$J697</f>
        <v>71</v>
      </c>
      <c r="L697" s="39" t="s">
        <v>2562</v>
      </c>
    </row>
    <row r="698" spans="1:12">
      <c r="A698" s="36" t="s">
        <v>2561</v>
      </c>
      <c r="B698" s="36" t="str">
        <f>"132829"</f>
        <v>132829</v>
      </c>
      <c r="C698" s="36" t="s">
        <v>2630</v>
      </c>
      <c r="D698" s="44">
        <v>83</v>
      </c>
      <c r="E698" s="44">
        <v>31</v>
      </c>
      <c r="F698" s="44">
        <f>'NonPublic Enrollment'!$E698*0.1</f>
        <v>3.1</v>
      </c>
      <c r="G698" s="44">
        <v>0</v>
      </c>
      <c r="H698" s="44">
        <f>'NonPublic Enrollment'!$G698*0.7374</f>
        <v>0</v>
      </c>
      <c r="I698" s="44">
        <v>0</v>
      </c>
      <c r="J698" s="44">
        <f>'NonPublic Enrollment'!$I698*0.2906</f>
        <v>0</v>
      </c>
      <c r="K698" s="44">
        <f>'NonPublic Enrollment'!$D698+'NonPublic Enrollment'!$F698+'NonPublic Enrollment'!$H698+'NonPublic Enrollment'!$J698</f>
        <v>86.1</v>
      </c>
      <c r="L698" s="37" t="s">
        <v>2562</v>
      </c>
    </row>
    <row r="699" spans="1:12">
      <c r="A699" s="38" t="s">
        <v>2561</v>
      </c>
      <c r="B699" s="38" t="str">
        <f>"056937"</f>
        <v>056937</v>
      </c>
      <c r="C699" s="38" t="s">
        <v>2629</v>
      </c>
      <c r="D699" s="45">
        <v>214</v>
      </c>
      <c r="E699" s="45">
        <v>36</v>
      </c>
      <c r="F699" s="45">
        <f>'NonPublic Enrollment'!$E699*0.1</f>
        <v>3.6</v>
      </c>
      <c r="G699" s="45">
        <v>0</v>
      </c>
      <c r="H699" s="45">
        <f>'NonPublic Enrollment'!$G699*0.7374</f>
        <v>0</v>
      </c>
      <c r="I699" s="45">
        <v>0</v>
      </c>
      <c r="J699" s="45">
        <f>'NonPublic Enrollment'!$I699*0.2906</f>
        <v>0</v>
      </c>
      <c r="K699" s="45">
        <f>'NonPublic Enrollment'!$D699+'NonPublic Enrollment'!$F699+'NonPublic Enrollment'!$H699+'NonPublic Enrollment'!$J699</f>
        <v>217.6</v>
      </c>
      <c r="L699" s="39" t="s">
        <v>2586</v>
      </c>
    </row>
    <row r="700" spans="1:12">
      <c r="A700" s="36" t="s">
        <v>2561</v>
      </c>
      <c r="B700" s="36" t="str">
        <f>"143040"</f>
        <v>143040</v>
      </c>
      <c r="C700" s="36" t="s">
        <v>2628</v>
      </c>
      <c r="D700" s="44">
        <v>87</v>
      </c>
      <c r="E700" s="44">
        <v>39</v>
      </c>
      <c r="F700" s="44">
        <f>'NonPublic Enrollment'!$E700*0.1</f>
        <v>3.9000000000000004</v>
      </c>
      <c r="G700" s="44">
        <v>0</v>
      </c>
      <c r="H700" s="44">
        <f>'NonPublic Enrollment'!$G700*0.7374</f>
        <v>0</v>
      </c>
      <c r="I700" s="44">
        <v>0</v>
      </c>
      <c r="J700" s="44">
        <f>'NonPublic Enrollment'!$I700*0.2906</f>
        <v>0</v>
      </c>
      <c r="K700" s="44">
        <f>'NonPublic Enrollment'!$D700+'NonPublic Enrollment'!$F700+'NonPublic Enrollment'!$H700+'NonPublic Enrollment'!$J700</f>
        <v>90.9</v>
      </c>
      <c r="L700" s="37" t="s">
        <v>2562</v>
      </c>
    </row>
    <row r="701" spans="1:12">
      <c r="A701" s="38" t="s">
        <v>2561</v>
      </c>
      <c r="B701" s="38" t="str">
        <f>"016433"</f>
        <v>016433</v>
      </c>
      <c r="C701" s="38" t="s">
        <v>2627</v>
      </c>
      <c r="D701" s="45">
        <v>46</v>
      </c>
      <c r="E701" s="45">
        <v>43</v>
      </c>
      <c r="F701" s="45">
        <f>'NonPublic Enrollment'!$E701*0.1</f>
        <v>4.3</v>
      </c>
      <c r="G701" s="45">
        <v>0</v>
      </c>
      <c r="H701" s="45">
        <f>'NonPublic Enrollment'!$G701*0.7374</f>
        <v>0</v>
      </c>
      <c r="I701" s="45">
        <v>0</v>
      </c>
      <c r="J701" s="45">
        <f>'NonPublic Enrollment'!$I701*0.2906</f>
        <v>0</v>
      </c>
      <c r="K701" s="45">
        <f>'NonPublic Enrollment'!$D701+'NonPublic Enrollment'!$F701+'NonPublic Enrollment'!$H701+'NonPublic Enrollment'!$J701</f>
        <v>50.3</v>
      </c>
      <c r="L701" s="39" t="s">
        <v>2572</v>
      </c>
    </row>
    <row r="702" spans="1:12">
      <c r="A702" s="36" t="s">
        <v>2561</v>
      </c>
      <c r="B702" s="36" t="str">
        <f>"121491"</f>
        <v>121491</v>
      </c>
      <c r="C702" s="36" t="s">
        <v>2626</v>
      </c>
      <c r="D702" s="44">
        <v>40</v>
      </c>
      <c r="E702" s="44">
        <v>48</v>
      </c>
      <c r="F702" s="44">
        <f>'NonPublic Enrollment'!$E702*0.1</f>
        <v>4.8000000000000007</v>
      </c>
      <c r="G702" s="44">
        <v>0</v>
      </c>
      <c r="H702" s="44">
        <f>'NonPublic Enrollment'!$G702*0.7374</f>
        <v>0</v>
      </c>
      <c r="I702" s="44">
        <v>0</v>
      </c>
      <c r="J702" s="44">
        <f>'NonPublic Enrollment'!$I702*0.2906</f>
        <v>0</v>
      </c>
      <c r="K702" s="44">
        <f>'NonPublic Enrollment'!$D702+'NonPublic Enrollment'!$F702+'NonPublic Enrollment'!$H702+'NonPublic Enrollment'!$J702</f>
        <v>44.8</v>
      </c>
      <c r="L702" s="37" t="s">
        <v>2562</v>
      </c>
    </row>
    <row r="703" spans="1:12">
      <c r="A703" s="38" t="s">
        <v>2561</v>
      </c>
      <c r="B703" s="38" t="str">
        <f>"060012"</f>
        <v>060012</v>
      </c>
      <c r="C703" s="38" t="s">
        <v>2625</v>
      </c>
      <c r="D703" s="45">
        <v>128</v>
      </c>
      <c r="E703" s="45">
        <v>49</v>
      </c>
      <c r="F703" s="45">
        <f>'NonPublic Enrollment'!$E703*0.1</f>
        <v>4.9000000000000004</v>
      </c>
      <c r="G703" s="45">
        <v>0</v>
      </c>
      <c r="H703" s="45">
        <f>'NonPublic Enrollment'!$G703*0.7374</f>
        <v>0</v>
      </c>
      <c r="I703" s="45">
        <v>0</v>
      </c>
      <c r="J703" s="45">
        <f>'NonPublic Enrollment'!$I703*0.2906</f>
        <v>0</v>
      </c>
      <c r="K703" s="45">
        <f>'NonPublic Enrollment'!$D703+'NonPublic Enrollment'!$F703+'NonPublic Enrollment'!$H703+'NonPublic Enrollment'!$J703</f>
        <v>132.9</v>
      </c>
      <c r="L703" s="39" t="s">
        <v>2562</v>
      </c>
    </row>
    <row r="704" spans="1:12">
      <c r="A704" s="36" t="s">
        <v>2561</v>
      </c>
      <c r="B704" s="36" t="str">
        <f>"008163"</f>
        <v>008163</v>
      </c>
      <c r="C704" s="36" t="s">
        <v>2624</v>
      </c>
      <c r="D704" s="44">
        <v>83</v>
      </c>
      <c r="E704" s="44">
        <v>55</v>
      </c>
      <c r="F704" s="44">
        <f>'NonPublic Enrollment'!$E704*0.1</f>
        <v>5.5</v>
      </c>
      <c r="G704" s="44">
        <v>0</v>
      </c>
      <c r="H704" s="44">
        <f>'NonPublic Enrollment'!$G704*0.7374</f>
        <v>0</v>
      </c>
      <c r="I704" s="44">
        <v>0</v>
      </c>
      <c r="J704" s="44">
        <f>'NonPublic Enrollment'!$I704*0.2906</f>
        <v>0</v>
      </c>
      <c r="K704" s="44">
        <f>'NonPublic Enrollment'!$D704+'NonPublic Enrollment'!$F704+'NonPublic Enrollment'!$H704+'NonPublic Enrollment'!$J704</f>
        <v>88.5</v>
      </c>
      <c r="L704" s="37" t="s">
        <v>2562</v>
      </c>
    </row>
    <row r="705" spans="1:12">
      <c r="A705" s="38" t="s">
        <v>2561</v>
      </c>
      <c r="B705" s="38" t="str">
        <f>"053702"</f>
        <v>053702</v>
      </c>
      <c r="C705" s="38" t="s">
        <v>2623</v>
      </c>
      <c r="D705" s="45">
        <v>692</v>
      </c>
      <c r="E705" s="45">
        <v>67</v>
      </c>
      <c r="F705" s="45">
        <f>'NonPublic Enrollment'!$E705*0.1</f>
        <v>6.7</v>
      </c>
      <c r="G705" s="45">
        <v>0</v>
      </c>
      <c r="H705" s="45">
        <f>'NonPublic Enrollment'!$G705*0.7374</f>
        <v>0</v>
      </c>
      <c r="I705" s="45">
        <v>0</v>
      </c>
      <c r="J705" s="45">
        <f>'NonPublic Enrollment'!$I705*0.2906</f>
        <v>0</v>
      </c>
      <c r="K705" s="45">
        <f>'NonPublic Enrollment'!$D705+'NonPublic Enrollment'!$F705+'NonPublic Enrollment'!$H705+'NonPublic Enrollment'!$J705</f>
        <v>698.7</v>
      </c>
      <c r="L705" s="39" t="s">
        <v>2586</v>
      </c>
    </row>
    <row r="706" spans="1:12">
      <c r="A706" s="36" t="s">
        <v>2561</v>
      </c>
      <c r="B706" s="36" t="str">
        <f>"060921"</f>
        <v>060921</v>
      </c>
      <c r="C706" s="36" t="s">
        <v>2590</v>
      </c>
      <c r="D706" s="44">
        <v>100</v>
      </c>
      <c r="E706" s="44">
        <v>72</v>
      </c>
      <c r="F706" s="44">
        <f>'NonPublic Enrollment'!$E706*0.1</f>
        <v>7.2</v>
      </c>
      <c r="G706" s="44">
        <v>0</v>
      </c>
      <c r="H706" s="44">
        <f>'NonPublic Enrollment'!$G706*0.7374</f>
        <v>0</v>
      </c>
      <c r="I706" s="44">
        <v>0</v>
      </c>
      <c r="J706" s="44">
        <f>'NonPublic Enrollment'!$I706*0.2906</f>
        <v>0</v>
      </c>
      <c r="K706" s="44">
        <f>'NonPublic Enrollment'!$D706+'NonPublic Enrollment'!$F706+'NonPublic Enrollment'!$H706+'NonPublic Enrollment'!$J706</f>
        <v>107.2</v>
      </c>
      <c r="L706" s="37" t="s">
        <v>2562</v>
      </c>
    </row>
    <row r="707" spans="1:12">
      <c r="A707" s="38" t="s">
        <v>2561</v>
      </c>
      <c r="B707" s="38" t="str">
        <f>"055202"</f>
        <v>055202</v>
      </c>
      <c r="C707" s="38" t="s">
        <v>2622</v>
      </c>
      <c r="D707" s="45">
        <v>94</v>
      </c>
      <c r="E707" s="45">
        <v>92</v>
      </c>
      <c r="F707" s="45">
        <f>'NonPublic Enrollment'!$E707*0.1</f>
        <v>9.2000000000000011</v>
      </c>
      <c r="G707" s="45">
        <v>0</v>
      </c>
      <c r="H707" s="45">
        <f>'NonPublic Enrollment'!$G707*0.7374</f>
        <v>0</v>
      </c>
      <c r="I707" s="45">
        <v>0</v>
      </c>
      <c r="J707" s="45">
        <f>'NonPublic Enrollment'!$I707*0.2906</f>
        <v>0</v>
      </c>
      <c r="K707" s="45">
        <f>'NonPublic Enrollment'!$D707+'NonPublic Enrollment'!$F707+'NonPublic Enrollment'!$H707+'NonPublic Enrollment'!$J707</f>
        <v>103.2</v>
      </c>
      <c r="L707" s="39" t="s">
        <v>2562</v>
      </c>
    </row>
    <row r="708" spans="1:12">
      <c r="A708" s="36" t="s">
        <v>2561</v>
      </c>
      <c r="B708" s="36" t="str">
        <f>"000468"</f>
        <v>000468</v>
      </c>
      <c r="C708" s="36" t="s">
        <v>2621</v>
      </c>
      <c r="D708" s="44">
        <v>159</v>
      </c>
      <c r="E708" s="44">
        <v>101</v>
      </c>
      <c r="F708" s="44">
        <f>'NonPublic Enrollment'!$E708*0.1</f>
        <v>10.100000000000001</v>
      </c>
      <c r="G708" s="44">
        <v>0</v>
      </c>
      <c r="H708" s="44">
        <f>'NonPublic Enrollment'!$G708*0.7374</f>
        <v>0</v>
      </c>
      <c r="I708" s="44">
        <v>0</v>
      </c>
      <c r="J708" s="44">
        <f>'NonPublic Enrollment'!$I708*0.2906</f>
        <v>0</v>
      </c>
      <c r="K708" s="44">
        <f>'NonPublic Enrollment'!$D708+'NonPublic Enrollment'!$F708+'NonPublic Enrollment'!$H708+'NonPublic Enrollment'!$J708</f>
        <v>169.1</v>
      </c>
      <c r="L708" s="37" t="s">
        <v>2562</v>
      </c>
    </row>
    <row r="709" spans="1:12">
      <c r="A709" s="38" t="s">
        <v>2561</v>
      </c>
      <c r="B709" s="38" t="str">
        <f>"064931"</f>
        <v>064931</v>
      </c>
      <c r="C709" s="38" t="s">
        <v>2620</v>
      </c>
      <c r="D709" s="45">
        <v>197</v>
      </c>
      <c r="E709" s="45">
        <v>104</v>
      </c>
      <c r="F709" s="45">
        <f>'NonPublic Enrollment'!$E709*0.1</f>
        <v>10.4</v>
      </c>
      <c r="G709" s="45">
        <v>0</v>
      </c>
      <c r="H709" s="45">
        <f>'NonPublic Enrollment'!$G709*0.7374</f>
        <v>0</v>
      </c>
      <c r="I709" s="45">
        <v>0</v>
      </c>
      <c r="J709" s="45">
        <f>'NonPublic Enrollment'!$I709*0.2906</f>
        <v>0</v>
      </c>
      <c r="K709" s="45">
        <f>'NonPublic Enrollment'!$D709+'NonPublic Enrollment'!$F709+'NonPublic Enrollment'!$H709+'NonPublic Enrollment'!$J709</f>
        <v>207.4</v>
      </c>
      <c r="L709" s="39" t="s">
        <v>2569</v>
      </c>
    </row>
    <row r="710" spans="1:12">
      <c r="A710" s="36" t="s">
        <v>2561</v>
      </c>
      <c r="B710" s="36" t="str">
        <f>"060384"</f>
        <v>060384</v>
      </c>
      <c r="C710" s="36" t="s">
        <v>2619</v>
      </c>
      <c r="D710" s="44">
        <v>148</v>
      </c>
      <c r="E710" s="44">
        <v>108</v>
      </c>
      <c r="F710" s="44">
        <f>'NonPublic Enrollment'!$E710*0.1</f>
        <v>10.8</v>
      </c>
      <c r="G710" s="44">
        <v>0</v>
      </c>
      <c r="H710" s="44">
        <f>'NonPublic Enrollment'!$G710*0.7374</f>
        <v>0</v>
      </c>
      <c r="I710" s="44">
        <v>0</v>
      </c>
      <c r="J710" s="44">
        <f>'NonPublic Enrollment'!$I710*0.2906</f>
        <v>0</v>
      </c>
      <c r="K710" s="44">
        <f>'NonPublic Enrollment'!$D710+'NonPublic Enrollment'!$F710+'NonPublic Enrollment'!$H710+'NonPublic Enrollment'!$J710</f>
        <v>158.80000000000001</v>
      </c>
      <c r="L710" s="37" t="s">
        <v>2562</v>
      </c>
    </row>
    <row r="711" spans="1:12">
      <c r="A711" s="38" t="s">
        <v>2561</v>
      </c>
      <c r="B711" s="38" t="str">
        <f>"053629"</f>
        <v>053629</v>
      </c>
      <c r="C711" s="38" t="s">
        <v>2618</v>
      </c>
      <c r="D711" s="45">
        <v>1553</v>
      </c>
      <c r="E711" s="45">
        <v>127</v>
      </c>
      <c r="F711" s="45">
        <f>'NonPublic Enrollment'!$E711*0.1</f>
        <v>12.700000000000001</v>
      </c>
      <c r="G711" s="45">
        <v>0</v>
      </c>
      <c r="H711" s="45">
        <f>'NonPublic Enrollment'!$G711*0.7374</f>
        <v>0</v>
      </c>
      <c r="I711" s="45">
        <v>0</v>
      </c>
      <c r="J711" s="45">
        <f>'NonPublic Enrollment'!$I711*0.2906</f>
        <v>0</v>
      </c>
      <c r="K711" s="45">
        <f>'NonPublic Enrollment'!$D711+'NonPublic Enrollment'!$F711+'NonPublic Enrollment'!$H711+'NonPublic Enrollment'!$J711</f>
        <v>1565.7</v>
      </c>
      <c r="L711" s="39" t="s">
        <v>2562</v>
      </c>
    </row>
    <row r="712" spans="1:12">
      <c r="A712" s="36" t="s">
        <v>2561</v>
      </c>
      <c r="B712" s="36" t="str">
        <f>"096966"</f>
        <v>096966</v>
      </c>
      <c r="C712" s="36" t="s">
        <v>2617</v>
      </c>
      <c r="D712" s="44">
        <v>193</v>
      </c>
      <c r="E712" s="44">
        <v>134</v>
      </c>
      <c r="F712" s="44">
        <f>'NonPublic Enrollment'!$E712*0.1</f>
        <v>13.4</v>
      </c>
      <c r="G712" s="44">
        <v>0</v>
      </c>
      <c r="H712" s="44">
        <f>'NonPublic Enrollment'!$G712*0.7374</f>
        <v>0</v>
      </c>
      <c r="I712" s="44">
        <v>0</v>
      </c>
      <c r="J712" s="44">
        <f>'NonPublic Enrollment'!$I712*0.2906</f>
        <v>0</v>
      </c>
      <c r="K712" s="44">
        <f>'NonPublic Enrollment'!$D712+'NonPublic Enrollment'!$F712+'NonPublic Enrollment'!$H712+'NonPublic Enrollment'!$J712</f>
        <v>206.4</v>
      </c>
      <c r="L712" s="37" t="s">
        <v>2562</v>
      </c>
    </row>
    <row r="713" spans="1:12">
      <c r="A713" s="38" t="s">
        <v>2561</v>
      </c>
      <c r="B713" s="38" t="str">
        <f>"126417"</f>
        <v>126417</v>
      </c>
      <c r="C713" s="38" t="s">
        <v>2616</v>
      </c>
      <c r="D713" s="45">
        <v>394</v>
      </c>
      <c r="E713" s="45">
        <v>141</v>
      </c>
      <c r="F713" s="45">
        <f>'NonPublic Enrollment'!$E713*0.1</f>
        <v>14.100000000000001</v>
      </c>
      <c r="G713" s="45">
        <v>0</v>
      </c>
      <c r="H713" s="45">
        <f>'NonPublic Enrollment'!$G713*0.7374</f>
        <v>0</v>
      </c>
      <c r="I713" s="45">
        <v>0</v>
      </c>
      <c r="J713" s="45">
        <f>'NonPublic Enrollment'!$I713*0.2906</f>
        <v>0</v>
      </c>
      <c r="K713" s="45">
        <f>'NonPublic Enrollment'!$D713+'NonPublic Enrollment'!$F713+'NonPublic Enrollment'!$H713+'NonPublic Enrollment'!$J713</f>
        <v>408.1</v>
      </c>
      <c r="L713" s="39" t="s">
        <v>2569</v>
      </c>
    </row>
    <row r="714" spans="1:12">
      <c r="A714" s="36" t="s">
        <v>2561</v>
      </c>
      <c r="B714" s="36" t="str">
        <f>"055749"</f>
        <v>055749</v>
      </c>
      <c r="C714" s="36" t="s">
        <v>2615</v>
      </c>
      <c r="D714" s="44">
        <v>176</v>
      </c>
      <c r="E714" s="44">
        <v>196</v>
      </c>
      <c r="F714" s="44">
        <f>'NonPublic Enrollment'!$E714*0.1</f>
        <v>19.600000000000001</v>
      </c>
      <c r="G714" s="44">
        <v>0</v>
      </c>
      <c r="H714" s="44">
        <f>'NonPublic Enrollment'!$G714*0.7374</f>
        <v>0</v>
      </c>
      <c r="I714" s="44">
        <v>0</v>
      </c>
      <c r="J714" s="44">
        <f>'NonPublic Enrollment'!$I714*0.2906</f>
        <v>0</v>
      </c>
      <c r="K714" s="44">
        <f>'NonPublic Enrollment'!$D714+'NonPublic Enrollment'!$F714+'NonPublic Enrollment'!$H714+'NonPublic Enrollment'!$J714</f>
        <v>195.6</v>
      </c>
      <c r="L714" s="37" t="s">
        <v>2586</v>
      </c>
    </row>
    <row r="715" spans="1:12">
      <c r="A715" s="38" t="s">
        <v>2561</v>
      </c>
      <c r="B715" s="38" t="str">
        <f>"058073"</f>
        <v>058073</v>
      </c>
      <c r="C715" s="38" t="s">
        <v>2614</v>
      </c>
      <c r="D715" s="45">
        <v>275</v>
      </c>
      <c r="E715" s="45">
        <v>235</v>
      </c>
      <c r="F715" s="45">
        <f>'NonPublic Enrollment'!$E715*0.1</f>
        <v>23.5</v>
      </c>
      <c r="G715" s="45">
        <v>0</v>
      </c>
      <c r="H715" s="45">
        <f>'NonPublic Enrollment'!$G715*0.7374</f>
        <v>0</v>
      </c>
      <c r="I715" s="45">
        <v>0</v>
      </c>
      <c r="J715" s="45">
        <f>'NonPublic Enrollment'!$I715*0.2906</f>
        <v>0</v>
      </c>
      <c r="K715" s="45">
        <f>'NonPublic Enrollment'!$D715+'NonPublic Enrollment'!$F715+'NonPublic Enrollment'!$H715+'NonPublic Enrollment'!$J715</f>
        <v>298.5</v>
      </c>
      <c r="L715" s="39" t="s">
        <v>2591</v>
      </c>
    </row>
    <row r="716" spans="1:12">
      <c r="A716" s="36" t="s">
        <v>2561</v>
      </c>
      <c r="B716" s="36" t="str">
        <f>"000204"</f>
        <v>000204</v>
      </c>
      <c r="C716" s="36" t="s">
        <v>2613</v>
      </c>
      <c r="D716" s="44">
        <v>40</v>
      </c>
      <c r="E716" s="44">
        <v>0</v>
      </c>
      <c r="F716" s="44">
        <f>'NonPublic Enrollment'!$E716*0.1</f>
        <v>0</v>
      </c>
      <c r="G716" s="44">
        <v>0</v>
      </c>
      <c r="H716" s="44">
        <f>'NonPublic Enrollment'!$G716*0.7374</f>
        <v>0</v>
      </c>
      <c r="I716" s="44">
        <v>0</v>
      </c>
      <c r="J716" s="44">
        <f>'NonPublic Enrollment'!$I716*0.2906</f>
        <v>0</v>
      </c>
      <c r="K716" s="44">
        <f>'NonPublic Enrollment'!$D716+'NonPublic Enrollment'!$F716+'NonPublic Enrollment'!$H716+'NonPublic Enrollment'!$J716</f>
        <v>40</v>
      </c>
      <c r="L716" s="37" t="s">
        <v>2572</v>
      </c>
    </row>
    <row r="717" spans="1:12">
      <c r="A717" s="38" t="s">
        <v>2561</v>
      </c>
      <c r="B717" s="38" t="str">
        <f>"000551"</f>
        <v>000551</v>
      </c>
      <c r="C717" s="38" t="s">
        <v>2612</v>
      </c>
      <c r="D717" s="45">
        <v>409</v>
      </c>
      <c r="E717" s="45">
        <v>0</v>
      </c>
      <c r="F717" s="45">
        <f>'NonPublic Enrollment'!$E717*0.1</f>
        <v>0</v>
      </c>
      <c r="G717" s="45">
        <v>0</v>
      </c>
      <c r="H717" s="45">
        <f>'NonPublic Enrollment'!$G717*0.7374</f>
        <v>0</v>
      </c>
      <c r="I717" s="45">
        <v>0</v>
      </c>
      <c r="J717" s="45">
        <f>'NonPublic Enrollment'!$I717*0.2906</f>
        <v>0</v>
      </c>
      <c r="K717" s="45">
        <f>'NonPublic Enrollment'!$D717+'NonPublic Enrollment'!$F717+'NonPublic Enrollment'!$H717+'NonPublic Enrollment'!$J717</f>
        <v>409</v>
      </c>
      <c r="L717" s="39" t="s">
        <v>2562</v>
      </c>
    </row>
    <row r="718" spans="1:12">
      <c r="A718" s="36" t="s">
        <v>2561</v>
      </c>
      <c r="B718" s="36" t="str">
        <f>"008019"</f>
        <v>008019</v>
      </c>
      <c r="C718" s="36" t="s">
        <v>2611</v>
      </c>
      <c r="D718" s="44">
        <v>216</v>
      </c>
      <c r="E718" s="44">
        <v>0</v>
      </c>
      <c r="F718" s="44">
        <f>'NonPublic Enrollment'!$E718*0.1</f>
        <v>0</v>
      </c>
      <c r="G718" s="44">
        <v>0</v>
      </c>
      <c r="H718" s="44">
        <f>'NonPublic Enrollment'!$G718*0.7374</f>
        <v>0</v>
      </c>
      <c r="I718" s="44">
        <v>0</v>
      </c>
      <c r="J718" s="44">
        <f>'NonPublic Enrollment'!$I718*0.2906</f>
        <v>0</v>
      </c>
      <c r="K718" s="44">
        <f>'NonPublic Enrollment'!$D718+'NonPublic Enrollment'!$F718+'NonPublic Enrollment'!$H718+'NonPublic Enrollment'!$J718</f>
        <v>216</v>
      </c>
      <c r="L718" s="37" t="s">
        <v>2562</v>
      </c>
    </row>
    <row r="719" spans="1:12">
      <c r="A719" s="38" t="s">
        <v>2561</v>
      </c>
      <c r="B719" s="38" t="str">
        <f>"013209"</f>
        <v>013209</v>
      </c>
      <c r="C719" s="38" t="s">
        <v>2610</v>
      </c>
      <c r="D719" s="45">
        <v>241</v>
      </c>
      <c r="E719" s="45">
        <v>0</v>
      </c>
      <c r="F719" s="45">
        <f>'NonPublic Enrollment'!$E719*0.1</f>
        <v>0</v>
      </c>
      <c r="G719" s="45">
        <v>0</v>
      </c>
      <c r="H719" s="45">
        <f>'NonPublic Enrollment'!$G719*0.7374</f>
        <v>0</v>
      </c>
      <c r="I719" s="45">
        <v>0</v>
      </c>
      <c r="J719" s="45">
        <f>'NonPublic Enrollment'!$I719*0.2906</f>
        <v>0</v>
      </c>
      <c r="K719" s="45">
        <f>'NonPublic Enrollment'!$D719+'NonPublic Enrollment'!$F719+'NonPublic Enrollment'!$H719+'NonPublic Enrollment'!$J719</f>
        <v>241</v>
      </c>
      <c r="L719" s="39" t="s">
        <v>2562</v>
      </c>
    </row>
    <row r="720" spans="1:12">
      <c r="A720" s="36" t="s">
        <v>2561</v>
      </c>
      <c r="B720" s="36" t="str">
        <f>"016689"</f>
        <v>016689</v>
      </c>
      <c r="C720" s="36" t="s">
        <v>2609</v>
      </c>
      <c r="D720" s="44">
        <v>23</v>
      </c>
      <c r="E720" s="44">
        <v>0</v>
      </c>
      <c r="F720" s="44">
        <f>'NonPublic Enrollment'!$E720*0.1</f>
        <v>0</v>
      </c>
      <c r="G720" s="44">
        <v>0</v>
      </c>
      <c r="H720" s="44">
        <f>'NonPublic Enrollment'!$G720*0.7374</f>
        <v>0</v>
      </c>
      <c r="I720" s="44">
        <v>0</v>
      </c>
      <c r="J720" s="44">
        <f>'NonPublic Enrollment'!$I720*0.2906</f>
        <v>0</v>
      </c>
      <c r="K720" s="44">
        <f>'NonPublic Enrollment'!$D720+'NonPublic Enrollment'!$F720+'NonPublic Enrollment'!$H720+'NonPublic Enrollment'!$J720</f>
        <v>23</v>
      </c>
      <c r="L720" s="37" t="s">
        <v>2562</v>
      </c>
    </row>
    <row r="721" spans="1:12">
      <c r="A721" s="38" t="s">
        <v>2561</v>
      </c>
      <c r="B721" s="38" t="str">
        <f>"016978"</f>
        <v>016978</v>
      </c>
      <c r="C721" s="38" t="s">
        <v>2608</v>
      </c>
      <c r="D721" s="45">
        <v>20</v>
      </c>
      <c r="E721" s="45">
        <v>0</v>
      </c>
      <c r="F721" s="45">
        <f>'NonPublic Enrollment'!$E721*0.1</f>
        <v>0</v>
      </c>
      <c r="G721" s="45">
        <v>0</v>
      </c>
      <c r="H721" s="45">
        <f>'NonPublic Enrollment'!$G721*0.7374</f>
        <v>0</v>
      </c>
      <c r="I721" s="45">
        <v>0</v>
      </c>
      <c r="J721" s="45">
        <f>'NonPublic Enrollment'!$I721*0.2906</f>
        <v>0</v>
      </c>
      <c r="K721" s="45">
        <f>'NonPublic Enrollment'!$D721+'NonPublic Enrollment'!$F721+'NonPublic Enrollment'!$H721+'NonPublic Enrollment'!$J721</f>
        <v>20</v>
      </c>
      <c r="L721" s="39" t="s">
        <v>2562</v>
      </c>
    </row>
    <row r="722" spans="1:12">
      <c r="A722" s="36" t="s">
        <v>2561</v>
      </c>
      <c r="B722" s="36" t="str">
        <f>"017232"</f>
        <v>017232</v>
      </c>
      <c r="C722" s="36" t="s">
        <v>2607</v>
      </c>
      <c r="D722" s="44">
        <v>47</v>
      </c>
      <c r="E722" s="44">
        <v>0</v>
      </c>
      <c r="F722" s="44">
        <f>'NonPublic Enrollment'!$E722*0.1</f>
        <v>0</v>
      </c>
      <c r="G722" s="44">
        <v>0</v>
      </c>
      <c r="H722" s="44">
        <f>'NonPublic Enrollment'!$G722*0.7374</f>
        <v>0</v>
      </c>
      <c r="I722" s="44">
        <v>0</v>
      </c>
      <c r="J722" s="44">
        <f>'NonPublic Enrollment'!$I722*0.2906</f>
        <v>0</v>
      </c>
      <c r="K722" s="44">
        <f>'NonPublic Enrollment'!$D722+'NonPublic Enrollment'!$F722+'NonPublic Enrollment'!$H722+'NonPublic Enrollment'!$J722</f>
        <v>47</v>
      </c>
      <c r="L722" s="37" t="s">
        <v>2572</v>
      </c>
    </row>
    <row r="723" spans="1:12">
      <c r="A723" s="38" t="s">
        <v>2561</v>
      </c>
      <c r="B723" s="38" t="str">
        <f>"017404"</f>
        <v>017404</v>
      </c>
      <c r="C723" s="38" t="s">
        <v>2606</v>
      </c>
      <c r="D723" s="45">
        <v>17</v>
      </c>
      <c r="E723" s="45">
        <v>0</v>
      </c>
      <c r="F723" s="45">
        <f>'NonPublic Enrollment'!$E723*0.1</f>
        <v>0</v>
      </c>
      <c r="G723" s="45">
        <v>0</v>
      </c>
      <c r="H723" s="45">
        <f>'NonPublic Enrollment'!$G723*0.7374</f>
        <v>0</v>
      </c>
      <c r="I723" s="45">
        <v>0</v>
      </c>
      <c r="J723" s="45">
        <f>'NonPublic Enrollment'!$I723*0.2906</f>
        <v>0</v>
      </c>
      <c r="K723" s="45">
        <f>'NonPublic Enrollment'!$D723+'NonPublic Enrollment'!$F723+'NonPublic Enrollment'!$H723+'NonPublic Enrollment'!$J723</f>
        <v>17</v>
      </c>
      <c r="L723" s="39" t="s">
        <v>2562</v>
      </c>
    </row>
    <row r="724" spans="1:12">
      <c r="A724" s="36" t="s">
        <v>2561</v>
      </c>
      <c r="B724" s="36" t="str">
        <f>"017487"</f>
        <v>017487</v>
      </c>
      <c r="C724" s="36" t="s">
        <v>2605</v>
      </c>
      <c r="D724" s="44">
        <v>43</v>
      </c>
      <c r="E724" s="44">
        <v>0</v>
      </c>
      <c r="F724" s="44">
        <f>'NonPublic Enrollment'!$E724*0.1</f>
        <v>0</v>
      </c>
      <c r="G724" s="44">
        <v>0</v>
      </c>
      <c r="H724" s="44">
        <f>'NonPublic Enrollment'!$G724*0.7374</f>
        <v>0</v>
      </c>
      <c r="I724" s="44">
        <v>0</v>
      </c>
      <c r="J724" s="44">
        <f>'NonPublic Enrollment'!$I724*0.2906</f>
        <v>0</v>
      </c>
      <c r="K724" s="44">
        <f>'NonPublic Enrollment'!$D724+'NonPublic Enrollment'!$F724+'NonPublic Enrollment'!$H724+'NonPublic Enrollment'!$J724</f>
        <v>43</v>
      </c>
      <c r="L724" s="37" t="s">
        <v>2572</v>
      </c>
    </row>
    <row r="725" spans="1:12">
      <c r="A725" s="38" t="s">
        <v>2561</v>
      </c>
      <c r="B725" s="38" t="str">
        <f>"017488"</f>
        <v>017488</v>
      </c>
      <c r="C725" s="38" t="s">
        <v>2604</v>
      </c>
      <c r="D725" s="45">
        <v>22</v>
      </c>
      <c r="E725" s="45">
        <v>0</v>
      </c>
      <c r="F725" s="45">
        <f>'NonPublic Enrollment'!$E725*0.1</f>
        <v>0</v>
      </c>
      <c r="G725" s="45">
        <v>0</v>
      </c>
      <c r="H725" s="45">
        <f>'NonPublic Enrollment'!$G725*0.7374</f>
        <v>0</v>
      </c>
      <c r="I725" s="45">
        <v>0</v>
      </c>
      <c r="J725" s="45">
        <f>'NonPublic Enrollment'!$I725*0.2906</f>
        <v>0</v>
      </c>
      <c r="K725" s="45">
        <f>'NonPublic Enrollment'!$D725+'NonPublic Enrollment'!$F725+'NonPublic Enrollment'!$H725+'NonPublic Enrollment'!$J725</f>
        <v>22</v>
      </c>
      <c r="L725" s="39" t="s">
        <v>2562</v>
      </c>
    </row>
    <row r="726" spans="1:12">
      <c r="A726" s="36" t="s">
        <v>2561</v>
      </c>
      <c r="B726" s="36" t="str">
        <f>"017530"</f>
        <v>017530</v>
      </c>
      <c r="C726" s="36" t="s">
        <v>2603</v>
      </c>
      <c r="D726" s="44">
        <v>24</v>
      </c>
      <c r="E726" s="44">
        <v>0</v>
      </c>
      <c r="F726" s="44">
        <f>'NonPublic Enrollment'!$E726*0.1</f>
        <v>0</v>
      </c>
      <c r="G726" s="44">
        <v>0</v>
      </c>
      <c r="H726" s="44">
        <f>'NonPublic Enrollment'!$G726*0.7374</f>
        <v>0</v>
      </c>
      <c r="I726" s="44">
        <v>0</v>
      </c>
      <c r="J726" s="44">
        <f>'NonPublic Enrollment'!$I726*0.2906</f>
        <v>0</v>
      </c>
      <c r="K726" s="44">
        <f>'NonPublic Enrollment'!$D726+'NonPublic Enrollment'!$F726+'NonPublic Enrollment'!$H726+'NonPublic Enrollment'!$J726</f>
        <v>24</v>
      </c>
      <c r="L726" s="37" t="s">
        <v>2599</v>
      </c>
    </row>
    <row r="727" spans="1:12">
      <c r="A727" s="38" t="s">
        <v>2561</v>
      </c>
      <c r="B727" s="38" t="str">
        <f>"018003"</f>
        <v>018003</v>
      </c>
      <c r="C727" s="38" t="s">
        <v>2602</v>
      </c>
      <c r="D727" s="45">
        <v>128</v>
      </c>
      <c r="E727" s="45">
        <v>0</v>
      </c>
      <c r="F727" s="45">
        <f>'NonPublic Enrollment'!$E727*0.1</f>
        <v>0</v>
      </c>
      <c r="G727" s="45">
        <v>0</v>
      </c>
      <c r="H727" s="45">
        <f>'NonPublic Enrollment'!$G727*0.7374</f>
        <v>0</v>
      </c>
      <c r="I727" s="45">
        <v>0</v>
      </c>
      <c r="J727" s="45">
        <f>'NonPublic Enrollment'!$I727*0.2906</f>
        <v>0</v>
      </c>
      <c r="K727" s="45">
        <f>'NonPublic Enrollment'!$D727+'NonPublic Enrollment'!$F727+'NonPublic Enrollment'!$H727+'NonPublic Enrollment'!$J727</f>
        <v>128</v>
      </c>
      <c r="L727" s="39" t="s">
        <v>2562</v>
      </c>
    </row>
    <row r="728" spans="1:12">
      <c r="A728" s="36" t="s">
        <v>2561</v>
      </c>
      <c r="B728" s="36" t="str">
        <f>"019206"</f>
        <v>019206</v>
      </c>
      <c r="C728" s="36" t="s">
        <v>2601</v>
      </c>
      <c r="D728" s="44">
        <v>7</v>
      </c>
      <c r="E728" s="44">
        <v>0</v>
      </c>
      <c r="F728" s="44">
        <f>'NonPublic Enrollment'!$E728*0.1</f>
        <v>0</v>
      </c>
      <c r="G728" s="44">
        <v>0</v>
      </c>
      <c r="H728" s="44">
        <f>'NonPublic Enrollment'!$G728*0.7374</f>
        <v>0</v>
      </c>
      <c r="I728" s="44">
        <v>0</v>
      </c>
      <c r="J728" s="44">
        <f>'NonPublic Enrollment'!$I728*0.2906</f>
        <v>0</v>
      </c>
      <c r="K728" s="44">
        <f>'NonPublic Enrollment'!$D728+'NonPublic Enrollment'!$F728+'NonPublic Enrollment'!$H728+'NonPublic Enrollment'!$J728</f>
        <v>7</v>
      </c>
      <c r="L728" s="37" t="s">
        <v>2595</v>
      </c>
    </row>
    <row r="729" spans="1:12">
      <c r="A729" s="38" t="s">
        <v>2561</v>
      </c>
      <c r="B729" s="38" t="str">
        <f>"019207"</f>
        <v>019207</v>
      </c>
      <c r="C729" s="38" t="s">
        <v>2600</v>
      </c>
      <c r="D729" s="45">
        <v>6</v>
      </c>
      <c r="E729" s="45">
        <v>0</v>
      </c>
      <c r="F729" s="45">
        <f>'NonPublic Enrollment'!$E729*0.1</f>
        <v>0</v>
      </c>
      <c r="G729" s="45">
        <v>0</v>
      </c>
      <c r="H729" s="45">
        <f>'NonPublic Enrollment'!$G729*0.7374</f>
        <v>0</v>
      </c>
      <c r="I729" s="45">
        <v>0</v>
      </c>
      <c r="J729" s="45">
        <f>'NonPublic Enrollment'!$I729*0.2906</f>
        <v>0</v>
      </c>
      <c r="K729" s="45">
        <f>'NonPublic Enrollment'!$D729+'NonPublic Enrollment'!$F729+'NonPublic Enrollment'!$H729+'NonPublic Enrollment'!$J729</f>
        <v>6</v>
      </c>
      <c r="L729" s="39" t="s">
        <v>2599</v>
      </c>
    </row>
    <row r="730" spans="1:12">
      <c r="A730" s="36" t="s">
        <v>2561</v>
      </c>
      <c r="B730" s="36" t="str">
        <f>"019211"</f>
        <v>019211</v>
      </c>
      <c r="C730" s="36" t="s">
        <v>2598</v>
      </c>
      <c r="D730" s="44">
        <v>28</v>
      </c>
      <c r="E730" s="44">
        <v>0</v>
      </c>
      <c r="F730" s="44">
        <f>'NonPublic Enrollment'!$E730*0.1</f>
        <v>0</v>
      </c>
      <c r="G730" s="44">
        <v>0</v>
      </c>
      <c r="H730" s="44">
        <f>'NonPublic Enrollment'!$G730*0.7374</f>
        <v>0</v>
      </c>
      <c r="I730" s="44">
        <v>0</v>
      </c>
      <c r="J730" s="44">
        <f>'NonPublic Enrollment'!$I730*0.2906</f>
        <v>0</v>
      </c>
      <c r="K730" s="44">
        <f>'NonPublic Enrollment'!$D730+'NonPublic Enrollment'!$F730+'NonPublic Enrollment'!$H730+'NonPublic Enrollment'!$J730</f>
        <v>28</v>
      </c>
      <c r="L730" s="37" t="s">
        <v>2595</v>
      </c>
    </row>
    <row r="731" spans="1:12">
      <c r="A731" s="38" t="s">
        <v>2561</v>
      </c>
      <c r="B731" s="38" t="str">
        <f>"019213"</f>
        <v>019213</v>
      </c>
      <c r="C731" s="38" t="s">
        <v>2597</v>
      </c>
      <c r="D731" s="45">
        <v>11</v>
      </c>
      <c r="E731" s="45">
        <v>0</v>
      </c>
      <c r="F731" s="45">
        <f>'NonPublic Enrollment'!$E731*0.1</f>
        <v>0</v>
      </c>
      <c r="G731" s="45">
        <v>0</v>
      </c>
      <c r="H731" s="45">
        <f>'NonPublic Enrollment'!$G731*0.7374</f>
        <v>0</v>
      </c>
      <c r="I731" s="45">
        <v>0</v>
      </c>
      <c r="J731" s="45">
        <f>'NonPublic Enrollment'!$I731*0.2906</f>
        <v>0</v>
      </c>
      <c r="K731" s="45">
        <f>'NonPublic Enrollment'!$D731+'NonPublic Enrollment'!$F731+'NonPublic Enrollment'!$H731+'NonPublic Enrollment'!$J731</f>
        <v>11</v>
      </c>
      <c r="L731" s="39" t="s">
        <v>2595</v>
      </c>
    </row>
    <row r="732" spans="1:12">
      <c r="A732" s="36" t="s">
        <v>2561</v>
      </c>
      <c r="B732" s="36" t="str">
        <f>"019215"</f>
        <v>019215</v>
      </c>
      <c r="C732" s="36" t="s">
        <v>2596</v>
      </c>
      <c r="D732" s="44">
        <v>2</v>
      </c>
      <c r="E732" s="44">
        <v>0</v>
      </c>
      <c r="F732" s="44">
        <f>'NonPublic Enrollment'!$E732*0.1</f>
        <v>0</v>
      </c>
      <c r="G732" s="44">
        <v>0</v>
      </c>
      <c r="H732" s="44">
        <f>'NonPublic Enrollment'!$G732*0.7374</f>
        <v>0</v>
      </c>
      <c r="I732" s="44">
        <v>0</v>
      </c>
      <c r="J732" s="44">
        <f>'NonPublic Enrollment'!$I732*0.2906</f>
        <v>0</v>
      </c>
      <c r="K732" s="44">
        <f>'NonPublic Enrollment'!$D732+'NonPublic Enrollment'!$F732+'NonPublic Enrollment'!$H732+'NonPublic Enrollment'!$J732</f>
        <v>2</v>
      </c>
      <c r="L732" s="37" t="s">
        <v>2595</v>
      </c>
    </row>
    <row r="733" spans="1:12">
      <c r="A733" s="38" t="s">
        <v>2561</v>
      </c>
      <c r="B733" s="38" t="str">
        <f>"052613"</f>
        <v>052613</v>
      </c>
      <c r="C733" s="38" t="s">
        <v>2594</v>
      </c>
      <c r="D733" s="45">
        <v>254</v>
      </c>
      <c r="E733" s="45">
        <v>0</v>
      </c>
      <c r="F733" s="45">
        <f>'NonPublic Enrollment'!$E733*0.1</f>
        <v>0</v>
      </c>
      <c r="G733" s="45">
        <v>0</v>
      </c>
      <c r="H733" s="45">
        <f>'NonPublic Enrollment'!$G733*0.7374</f>
        <v>0</v>
      </c>
      <c r="I733" s="45">
        <v>0</v>
      </c>
      <c r="J733" s="45">
        <f>'NonPublic Enrollment'!$I733*0.2906</f>
        <v>0</v>
      </c>
      <c r="K733" s="45">
        <f>'NonPublic Enrollment'!$D733+'NonPublic Enrollment'!$F733+'NonPublic Enrollment'!$H733+'NonPublic Enrollment'!$J733</f>
        <v>254</v>
      </c>
      <c r="L733" s="39" t="s">
        <v>2562</v>
      </c>
    </row>
    <row r="734" spans="1:12">
      <c r="A734" s="36" t="s">
        <v>2561</v>
      </c>
      <c r="B734" s="36" t="str">
        <f>"053520"</f>
        <v>053520</v>
      </c>
      <c r="C734" s="36" t="s">
        <v>2593</v>
      </c>
      <c r="D734" s="44">
        <v>574</v>
      </c>
      <c r="E734" s="44">
        <v>0</v>
      </c>
      <c r="F734" s="44">
        <f>'NonPublic Enrollment'!$E734*0.1</f>
        <v>0</v>
      </c>
      <c r="G734" s="44">
        <v>0</v>
      </c>
      <c r="H734" s="44">
        <f>'NonPublic Enrollment'!$G734*0.7374</f>
        <v>0</v>
      </c>
      <c r="I734" s="44">
        <v>0</v>
      </c>
      <c r="J734" s="44">
        <f>'NonPublic Enrollment'!$I734*0.2906</f>
        <v>0</v>
      </c>
      <c r="K734" s="44">
        <f>'NonPublic Enrollment'!$D734+'NonPublic Enrollment'!$F734+'NonPublic Enrollment'!$H734+'NonPublic Enrollment'!$J734</f>
        <v>574</v>
      </c>
      <c r="L734" s="37" t="s">
        <v>2562</v>
      </c>
    </row>
    <row r="735" spans="1:12">
      <c r="A735" s="38" t="s">
        <v>2561</v>
      </c>
      <c r="B735" s="38" t="str">
        <f>"054163"</f>
        <v>054163</v>
      </c>
      <c r="C735" s="38" t="s">
        <v>2592</v>
      </c>
      <c r="D735" s="45">
        <v>46</v>
      </c>
      <c r="E735" s="45">
        <v>0</v>
      </c>
      <c r="F735" s="45">
        <f>'NonPublic Enrollment'!$E735*0.1</f>
        <v>0</v>
      </c>
      <c r="G735" s="45">
        <v>0</v>
      </c>
      <c r="H735" s="45">
        <f>'NonPublic Enrollment'!$G735*0.7374</f>
        <v>0</v>
      </c>
      <c r="I735" s="45">
        <v>0</v>
      </c>
      <c r="J735" s="45">
        <f>'NonPublic Enrollment'!$I735*0.2906</f>
        <v>0</v>
      </c>
      <c r="K735" s="45">
        <f>'NonPublic Enrollment'!$D735+'NonPublic Enrollment'!$F735+'NonPublic Enrollment'!$H735+'NonPublic Enrollment'!$J735</f>
        <v>46</v>
      </c>
      <c r="L735" s="39" t="s">
        <v>2591</v>
      </c>
    </row>
    <row r="736" spans="1:12">
      <c r="A736" s="36" t="s">
        <v>2561</v>
      </c>
      <c r="B736" s="36" t="str">
        <f>"060509"</f>
        <v>060509</v>
      </c>
      <c r="C736" s="36" t="s">
        <v>2590</v>
      </c>
      <c r="D736" s="44">
        <v>143</v>
      </c>
      <c r="E736" s="44">
        <v>0</v>
      </c>
      <c r="F736" s="44">
        <f>'NonPublic Enrollment'!$E736*0.1</f>
        <v>0</v>
      </c>
      <c r="G736" s="44">
        <v>0</v>
      </c>
      <c r="H736" s="44">
        <f>'NonPublic Enrollment'!$G736*0.7374</f>
        <v>0</v>
      </c>
      <c r="I736" s="44">
        <v>0</v>
      </c>
      <c r="J736" s="44">
        <f>'NonPublic Enrollment'!$I736*0.2906</f>
        <v>0</v>
      </c>
      <c r="K736" s="44">
        <f>'NonPublic Enrollment'!$D736+'NonPublic Enrollment'!$F736+'NonPublic Enrollment'!$H736+'NonPublic Enrollment'!$J736</f>
        <v>143</v>
      </c>
      <c r="L736" s="37" t="s">
        <v>2562</v>
      </c>
    </row>
    <row r="737" spans="1:12">
      <c r="A737" s="38" t="s">
        <v>2561</v>
      </c>
      <c r="B737" s="38" t="str">
        <f>"060624"</f>
        <v>060624</v>
      </c>
      <c r="C737" s="38" t="s">
        <v>2589</v>
      </c>
      <c r="D737" s="45">
        <v>200</v>
      </c>
      <c r="E737" s="45">
        <v>0</v>
      </c>
      <c r="F737" s="45">
        <f>'NonPublic Enrollment'!$E737*0.1</f>
        <v>0</v>
      </c>
      <c r="G737" s="45">
        <v>0</v>
      </c>
      <c r="H737" s="45">
        <f>'NonPublic Enrollment'!$G737*0.7374</f>
        <v>0</v>
      </c>
      <c r="I737" s="45">
        <v>0</v>
      </c>
      <c r="J737" s="45">
        <f>'NonPublic Enrollment'!$I737*0.2906</f>
        <v>0</v>
      </c>
      <c r="K737" s="45">
        <f>'NonPublic Enrollment'!$D737+'NonPublic Enrollment'!$F737+'NonPublic Enrollment'!$H737+'NonPublic Enrollment'!$J737</f>
        <v>200</v>
      </c>
      <c r="L737" s="39" t="s">
        <v>2580</v>
      </c>
    </row>
    <row r="738" spans="1:12">
      <c r="A738" s="36" t="s">
        <v>2561</v>
      </c>
      <c r="B738" s="36" t="str">
        <f>"060764"</f>
        <v>060764</v>
      </c>
      <c r="C738" s="36" t="s">
        <v>2588</v>
      </c>
      <c r="D738" s="44">
        <v>488</v>
      </c>
      <c r="E738" s="44">
        <v>0</v>
      </c>
      <c r="F738" s="44">
        <f>'NonPublic Enrollment'!$E738*0.1</f>
        <v>0</v>
      </c>
      <c r="G738" s="44">
        <v>0</v>
      </c>
      <c r="H738" s="44">
        <f>'NonPublic Enrollment'!$G738*0.7374</f>
        <v>0</v>
      </c>
      <c r="I738" s="44">
        <v>0</v>
      </c>
      <c r="J738" s="44">
        <f>'NonPublic Enrollment'!$I738*0.2906</f>
        <v>0</v>
      </c>
      <c r="K738" s="44">
        <f>'NonPublic Enrollment'!$D738+'NonPublic Enrollment'!$F738+'NonPublic Enrollment'!$H738+'NonPublic Enrollment'!$J738</f>
        <v>488</v>
      </c>
      <c r="L738" s="37" t="s">
        <v>2562</v>
      </c>
    </row>
    <row r="739" spans="1:12">
      <c r="A739" s="38" t="s">
        <v>2561</v>
      </c>
      <c r="B739" s="38" t="str">
        <f>"062489"</f>
        <v>062489</v>
      </c>
      <c r="C739" s="38" t="s">
        <v>2587</v>
      </c>
      <c r="D739" s="45">
        <v>1013</v>
      </c>
      <c r="E739" s="45">
        <v>0</v>
      </c>
      <c r="F739" s="45">
        <f>'NonPublic Enrollment'!$E739*0.1</f>
        <v>0</v>
      </c>
      <c r="G739" s="45">
        <v>0</v>
      </c>
      <c r="H739" s="45">
        <f>'NonPublic Enrollment'!$G739*0.7374</f>
        <v>0</v>
      </c>
      <c r="I739" s="45">
        <v>0</v>
      </c>
      <c r="J739" s="45">
        <f>'NonPublic Enrollment'!$I739*0.2906</f>
        <v>0</v>
      </c>
      <c r="K739" s="45">
        <f>'NonPublic Enrollment'!$D739+'NonPublic Enrollment'!$F739+'NonPublic Enrollment'!$H739+'NonPublic Enrollment'!$J739</f>
        <v>1013</v>
      </c>
      <c r="L739" s="39" t="s">
        <v>2586</v>
      </c>
    </row>
    <row r="740" spans="1:12">
      <c r="A740" s="36" t="s">
        <v>2561</v>
      </c>
      <c r="B740" s="36" t="str">
        <f>"067611"</f>
        <v>067611</v>
      </c>
      <c r="C740" s="36" t="s">
        <v>2585</v>
      </c>
      <c r="D740" s="44">
        <v>850</v>
      </c>
      <c r="E740" s="44">
        <v>0</v>
      </c>
      <c r="F740" s="44">
        <f>'NonPublic Enrollment'!$E740*0.1</f>
        <v>0</v>
      </c>
      <c r="G740" s="44">
        <v>0</v>
      </c>
      <c r="H740" s="44">
        <f>'NonPublic Enrollment'!$G740*0.7374</f>
        <v>0</v>
      </c>
      <c r="I740" s="44">
        <v>0</v>
      </c>
      <c r="J740" s="44">
        <f>'NonPublic Enrollment'!$I740*0.2906</f>
        <v>0</v>
      </c>
      <c r="K740" s="44">
        <f>'NonPublic Enrollment'!$D740+'NonPublic Enrollment'!$F740+'NonPublic Enrollment'!$H740+'NonPublic Enrollment'!$J740</f>
        <v>850</v>
      </c>
      <c r="L740" s="37" t="s">
        <v>2569</v>
      </c>
    </row>
    <row r="741" spans="1:12">
      <c r="A741" s="38" t="s">
        <v>2561</v>
      </c>
      <c r="B741" s="38" t="str">
        <f>"067637"</f>
        <v>067637</v>
      </c>
      <c r="C741" s="38" t="s">
        <v>2584</v>
      </c>
      <c r="D741" s="45">
        <v>433</v>
      </c>
      <c r="E741" s="45">
        <v>0</v>
      </c>
      <c r="F741" s="45">
        <f>'NonPublic Enrollment'!$E741*0.1</f>
        <v>0</v>
      </c>
      <c r="G741" s="45">
        <v>0</v>
      </c>
      <c r="H741" s="45">
        <f>'NonPublic Enrollment'!$G741*0.7374</f>
        <v>0</v>
      </c>
      <c r="I741" s="45">
        <v>0</v>
      </c>
      <c r="J741" s="45">
        <f>'NonPublic Enrollment'!$I741*0.2906</f>
        <v>0</v>
      </c>
      <c r="K741" s="45">
        <f>'NonPublic Enrollment'!$D741+'NonPublic Enrollment'!$F741+'NonPublic Enrollment'!$H741+'NonPublic Enrollment'!$J741</f>
        <v>433</v>
      </c>
      <c r="L741" s="39" t="s">
        <v>2562</v>
      </c>
    </row>
    <row r="742" spans="1:12">
      <c r="A742" s="36" t="s">
        <v>2561</v>
      </c>
      <c r="B742" s="36" t="str">
        <f>"070409"</f>
        <v>070409</v>
      </c>
      <c r="C742" s="36" t="s">
        <v>2583</v>
      </c>
      <c r="D742" s="44">
        <v>492</v>
      </c>
      <c r="E742" s="44">
        <v>0</v>
      </c>
      <c r="F742" s="44">
        <f>'NonPublic Enrollment'!$E742*0.1</f>
        <v>0</v>
      </c>
      <c r="G742" s="44">
        <v>0</v>
      </c>
      <c r="H742" s="44">
        <f>'NonPublic Enrollment'!$G742*0.7374</f>
        <v>0</v>
      </c>
      <c r="I742" s="44">
        <v>0</v>
      </c>
      <c r="J742" s="44">
        <f>'NonPublic Enrollment'!$I742*0.2906</f>
        <v>0</v>
      </c>
      <c r="K742" s="44">
        <f>'NonPublic Enrollment'!$D742+'NonPublic Enrollment'!$F742+'NonPublic Enrollment'!$H742+'NonPublic Enrollment'!$J742</f>
        <v>492</v>
      </c>
      <c r="L742" s="37" t="s">
        <v>2582</v>
      </c>
    </row>
    <row r="743" spans="1:12">
      <c r="A743" s="38" t="s">
        <v>2561</v>
      </c>
      <c r="B743" s="38" t="str">
        <f>"070748"</f>
        <v>070748</v>
      </c>
      <c r="C743" s="38" t="s">
        <v>2581</v>
      </c>
      <c r="D743" s="45">
        <v>278</v>
      </c>
      <c r="E743" s="45">
        <v>0</v>
      </c>
      <c r="F743" s="45">
        <f>'NonPublic Enrollment'!$E743*0.1</f>
        <v>0</v>
      </c>
      <c r="G743" s="45">
        <v>0</v>
      </c>
      <c r="H743" s="45">
        <f>'NonPublic Enrollment'!$G743*0.7374</f>
        <v>0</v>
      </c>
      <c r="I743" s="45">
        <v>0</v>
      </c>
      <c r="J743" s="45">
        <f>'NonPublic Enrollment'!$I743*0.2906</f>
        <v>0</v>
      </c>
      <c r="K743" s="45">
        <f>'NonPublic Enrollment'!$D743+'NonPublic Enrollment'!$F743+'NonPublic Enrollment'!$H743+'NonPublic Enrollment'!$J743</f>
        <v>278</v>
      </c>
      <c r="L743" s="39" t="s">
        <v>2580</v>
      </c>
    </row>
    <row r="744" spans="1:12">
      <c r="A744" s="36" t="s">
        <v>2561</v>
      </c>
      <c r="B744" s="36" t="str">
        <f>"070912"</f>
        <v>070912</v>
      </c>
      <c r="C744" s="36" t="s">
        <v>2579</v>
      </c>
      <c r="D744" s="44">
        <v>94</v>
      </c>
      <c r="E744" s="44">
        <v>0</v>
      </c>
      <c r="F744" s="44">
        <f>'NonPublic Enrollment'!$E744*0.1</f>
        <v>0</v>
      </c>
      <c r="G744" s="44">
        <v>0</v>
      </c>
      <c r="H744" s="44">
        <f>'NonPublic Enrollment'!$G744*0.7374</f>
        <v>0</v>
      </c>
      <c r="I744" s="44">
        <v>0</v>
      </c>
      <c r="J744" s="44">
        <f>'NonPublic Enrollment'!$I744*0.2906</f>
        <v>0</v>
      </c>
      <c r="K744" s="44">
        <f>'NonPublic Enrollment'!$D744+'NonPublic Enrollment'!$F744+'NonPublic Enrollment'!$H744+'NonPublic Enrollment'!$J744</f>
        <v>94</v>
      </c>
      <c r="L744" s="37" t="s">
        <v>2569</v>
      </c>
    </row>
    <row r="745" spans="1:12">
      <c r="A745" s="38" t="s">
        <v>2561</v>
      </c>
      <c r="B745" s="38" t="str">
        <f>"070979"</f>
        <v>070979</v>
      </c>
      <c r="C745" s="38" t="s">
        <v>2578</v>
      </c>
      <c r="D745" s="45">
        <v>130</v>
      </c>
      <c r="E745" s="45">
        <v>0</v>
      </c>
      <c r="F745" s="45">
        <f>'NonPublic Enrollment'!$E745*0.1</f>
        <v>0</v>
      </c>
      <c r="G745" s="45">
        <v>0</v>
      </c>
      <c r="H745" s="45">
        <f>'NonPublic Enrollment'!$G745*0.7374</f>
        <v>0</v>
      </c>
      <c r="I745" s="45">
        <v>0</v>
      </c>
      <c r="J745" s="45">
        <f>'NonPublic Enrollment'!$I745*0.2906</f>
        <v>0</v>
      </c>
      <c r="K745" s="45">
        <f>'NonPublic Enrollment'!$D745+'NonPublic Enrollment'!$F745+'NonPublic Enrollment'!$H745+'NonPublic Enrollment'!$J745</f>
        <v>130</v>
      </c>
      <c r="L745" s="39" t="s">
        <v>2562</v>
      </c>
    </row>
    <row r="746" spans="1:12">
      <c r="A746" s="36" t="s">
        <v>2561</v>
      </c>
      <c r="B746" s="36" t="str">
        <f>"086520"</f>
        <v>086520</v>
      </c>
      <c r="C746" s="36" t="s">
        <v>2577</v>
      </c>
      <c r="D746" s="44">
        <v>162</v>
      </c>
      <c r="E746" s="44">
        <v>0</v>
      </c>
      <c r="F746" s="44">
        <f>'NonPublic Enrollment'!$E746*0.1</f>
        <v>0</v>
      </c>
      <c r="G746" s="44">
        <v>0</v>
      </c>
      <c r="H746" s="44">
        <f>'NonPublic Enrollment'!$G746*0.7374</f>
        <v>0</v>
      </c>
      <c r="I746" s="44">
        <v>0</v>
      </c>
      <c r="J746" s="44">
        <f>'NonPublic Enrollment'!$I746*0.2906</f>
        <v>0</v>
      </c>
      <c r="K746" s="44">
        <f>'NonPublic Enrollment'!$D746+'NonPublic Enrollment'!$F746+'NonPublic Enrollment'!$H746+'NonPublic Enrollment'!$J746</f>
        <v>162</v>
      </c>
      <c r="L746" s="37" t="s">
        <v>2562</v>
      </c>
    </row>
    <row r="747" spans="1:12">
      <c r="A747" s="38" t="s">
        <v>2561</v>
      </c>
      <c r="B747" s="38" t="str">
        <f>"093021"</f>
        <v>093021</v>
      </c>
      <c r="C747" s="38" t="s">
        <v>2576</v>
      </c>
      <c r="D747" s="45">
        <v>48</v>
      </c>
      <c r="E747" s="45">
        <v>0</v>
      </c>
      <c r="F747" s="45">
        <f>'NonPublic Enrollment'!$E747*0.1</f>
        <v>0</v>
      </c>
      <c r="G747" s="45">
        <v>0</v>
      </c>
      <c r="H747" s="45">
        <f>'NonPublic Enrollment'!$G747*0.7374</f>
        <v>0</v>
      </c>
      <c r="I747" s="45">
        <v>0</v>
      </c>
      <c r="J747" s="45">
        <f>'NonPublic Enrollment'!$I747*0.2906</f>
        <v>0</v>
      </c>
      <c r="K747" s="45">
        <f>'NonPublic Enrollment'!$D747+'NonPublic Enrollment'!$F747+'NonPublic Enrollment'!$H747+'NonPublic Enrollment'!$J747</f>
        <v>48</v>
      </c>
      <c r="L747" s="39" t="s">
        <v>2569</v>
      </c>
    </row>
    <row r="748" spans="1:12">
      <c r="A748" s="36" t="s">
        <v>2561</v>
      </c>
      <c r="B748" s="36" t="str">
        <f>"094490"</f>
        <v>094490</v>
      </c>
      <c r="C748" s="36" t="s">
        <v>2573</v>
      </c>
      <c r="D748" s="44">
        <v>83</v>
      </c>
      <c r="E748" s="44">
        <v>0</v>
      </c>
      <c r="F748" s="44">
        <f>'NonPublic Enrollment'!$E748*0.1</f>
        <v>0</v>
      </c>
      <c r="G748" s="44">
        <v>0</v>
      </c>
      <c r="H748" s="44">
        <f>'NonPublic Enrollment'!$G748*0.7374</f>
        <v>0</v>
      </c>
      <c r="I748" s="44">
        <v>0</v>
      </c>
      <c r="J748" s="44">
        <f>'NonPublic Enrollment'!$I748*0.2906</f>
        <v>0</v>
      </c>
      <c r="K748" s="44">
        <f>'NonPublic Enrollment'!$D748+'NonPublic Enrollment'!$F748+'NonPublic Enrollment'!$H748+'NonPublic Enrollment'!$J748</f>
        <v>83</v>
      </c>
      <c r="L748" s="37" t="s">
        <v>2569</v>
      </c>
    </row>
    <row r="749" spans="1:12">
      <c r="A749" s="38" t="s">
        <v>2561</v>
      </c>
      <c r="B749" s="38" t="str">
        <f>"095158"</f>
        <v>095158</v>
      </c>
      <c r="C749" s="38" t="s">
        <v>2575</v>
      </c>
      <c r="D749" s="45">
        <v>74</v>
      </c>
      <c r="E749" s="45">
        <v>0</v>
      </c>
      <c r="F749" s="45">
        <f>'NonPublic Enrollment'!$E749*0.1</f>
        <v>0</v>
      </c>
      <c r="G749" s="45">
        <v>0</v>
      </c>
      <c r="H749" s="45">
        <f>'NonPublic Enrollment'!$G749*0.7374</f>
        <v>0</v>
      </c>
      <c r="I749" s="45">
        <v>0</v>
      </c>
      <c r="J749" s="45">
        <f>'NonPublic Enrollment'!$I749*0.2906</f>
        <v>0</v>
      </c>
      <c r="K749" s="45">
        <f>'NonPublic Enrollment'!$D749+'NonPublic Enrollment'!$F749+'NonPublic Enrollment'!$H749+'NonPublic Enrollment'!$J749</f>
        <v>74</v>
      </c>
      <c r="L749" s="39" t="s">
        <v>2562</v>
      </c>
    </row>
    <row r="750" spans="1:12">
      <c r="A750" s="36" t="s">
        <v>2561</v>
      </c>
      <c r="B750" s="36" t="str">
        <f>"097923"</f>
        <v>097923</v>
      </c>
      <c r="C750" s="36" t="s">
        <v>2574</v>
      </c>
      <c r="D750" s="44">
        <v>370</v>
      </c>
      <c r="E750" s="44">
        <v>0</v>
      </c>
      <c r="F750" s="44">
        <f>'NonPublic Enrollment'!$E750*0.1</f>
        <v>0</v>
      </c>
      <c r="G750" s="44">
        <v>0</v>
      </c>
      <c r="H750" s="44">
        <f>'NonPublic Enrollment'!$G750*0.7374</f>
        <v>0</v>
      </c>
      <c r="I750" s="44">
        <v>0</v>
      </c>
      <c r="J750" s="44">
        <f>'NonPublic Enrollment'!$I750*0.2906</f>
        <v>0</v>
      </c>
      <c r="K750" s="44">
        <f>'NonPublic Enrollment'!$D750+'NonPublic Enrollment'!$F750+'NonPublic Enrollment'!$H750+'NonPublic Enrollment'!$J750</f>
        <v>370</v>
      </c>
      <c r="L750" s="37" t="s">
        <v>2569</v>
      </c>
    </row>
    <row r="751" spans="1:12">
      <c r="A751" s="38" t="s">
        <v>2561</v>
      </c>
      <c r="B751" s="38" t="str">
        <f>"098525"</f>
        <v>098525</v>
      </c>
      <c r="C751" s="38" t="s">
        <v>2573</v>
      </c>
      <c r="D751" s="45">
        <v>45</v>
      </c>
      <c r="E751" s="45">
        <v>0</v>
      </c>
      <c r="F751" s="45">
        <f>'NonPublic Enrollment'!$E751*0.1</f>
        <v>0</v>
      </c>
      <c r="G751" s="45">
        <v>0</v>
      </c>
      <c r="H751" s="45">
        <f>'NonPublic Enrollment'!$G751*0.7374</f>
        <v>0</v>
      </c>
      <c r="I751" s="45">
        <v>0</v>
      </c>
      <c r="J751" s="45">
        <f>'NonPublic Enrollment'!$I751*0.2906</f>
        <v>0</v>
      </c>
      <c r="K751" s="45">
        <f>'NonPublic Enrollment'!$D751+'NonPublic Enrollment'!$F751+'NonPublic Enrollment'!$H751+'NonPublic Enrollment'!$J751</f>
        <v>45</v>
      </c>
      <c r="L751" s="39" t="s">
        <v>2572</v>
      </c>
    </row>
    <row r="752" spans="1:12">
      <c r="A752" s="36" t="s">
        <v>2561</v>
      </c>
      <c r="B752" s="36" t="str">
        <f>"110619"</f>
        <v>110619</v>
      </c>
      <c r="C752" s="36" t="s">
        <v>2571</v>
      </c>
      <c r="D752" s="44">
        <v>39</v>
      </c>
      <c r="E752" s="44">
        <v>0</v>
      </c>
      <c r="F752" s="44">
        <f>'NonPublic Enrollment'!$E752*0.1</f>
        <v>0</v>
      </c>
      <c r="G752" s="44">
        <v>0</v>
      </c>
      <c r="H752" s="44">
        <f>'NonPublic Enrollment'!$G752*0.7374</f>
        <v>0</v>
      </c>
      <c r="I752" s="44">
        <v>0</v>
      </c>
      <c r="J752" s="44">
        <f>'NonPublic Enrollment'!$I752*0.2906</f>
        <v>0</v>
      </c>
      <c r="K752" s="44">
        <f>'NonPublic Enrollment'!$D752+'NonPublic Enrollment'!$F752+'NonPublic Enrollment'!$H752+'NonPublic Enrollment'!$J752</f>
        <v>39</v>
      </c>
      <c r="L752" s="37" t="s">
        <v>2562</v>
      </c>
    </row>
    <row r="753" spans="1:12">
      <c r="A753" s="38" t="s">
        <v>2561</v>
      </c>
      <c r="B753" s="38" t="str">
        <f>"110684"</f>
        <v>110684</v>
      </c>
      <c r="C753" s="38" t="s">
        <v>2570</v>
      </c>
      <c r="D753" s="45">
        <v>26</v>
      </c>
      <c r="E753" s="45">
        <v>0</v>
      </c>
      <c r="F753" s="45">
        <f>'NonPublic Enrollment'!$E753*0.1</f>
        <v>0</v>
      </c>
      <c r="G753" s="45">
        <v>0</v>
      </c>
      <c r="H753" s="45">
        <f>'NonPublic Enrollment'!$G753*0.7374</f>
        <v>0</v>
      </c>
      <c r="I753" s="45">
        <v>0</v>
      </c>
      <c r="J753" s="45">
        <f>'NonPublic Enrollment'!$I753*0.2906</f>
        <v>0</v>
      </c>
      <c r="K753" s="45">
        <f>'NonPublic Enrollment'!$D753+'NonPublic Enrollment'!$F753+'NonPublic Enrollment'!$H753+'NonPublic Enrollment'!$J753</f>
        <v>26</v>
      </c>
      <c r="L753" s="39" t="s">
        <v>2569</v>
      </c>
    </row>
    <row r="754" spans="1:12">
      <c r="A754" s="36" t="s">
        <v>2561</v>
      </c>
      <c r="B754" s="36" t="str">
        <f>"111898"</f>
        <v>111898</v>
      </c>
      <c r="C754" s="36" t="s">
        <v>2566</v>
      </c>
      <c r="D754" s="44">
        <v>406</v>
      </c>
      <c r="E754" s="44">
        <v>0</v>
      </c>
      <c r="F754" s="44">
        <f>'NonPublic Enrollment'!$E754*0.1</f>
        <v>0</v>
      </c>
      <c r="G754" s="44">
        <v>0</v>
      </c>
      <c r="H754" s="44">
        <f>'NonPublic Enrollment'!$G754*0.7374</f>
        <v>0</v>
      </c>
      <c r="I754" s="44">
        <v>0</v>
      </c>
      <c r="J754" s="44">
        <f>'NonPublic Enrollment'!$I754*0.2906</f>
        <v>0</v>
      </c>
      <c r="K754" s="44">
        <f>'NonPublic Enrollment'!$D754+'NonPublic Enrollment'!$F754+'NonPublic Enrollment'!$H754+'NonPublic Enrollment'!$J754</f>
        <v>406</v>
      </c>
      <c r="L754" s="37" t="s">
        <v>2562</v>
      </c>
    </row>
    <row r="755" spans="1:12">
      <c r="A755" s="38" t="s">
        <v>2561</v>
      </c>
      <c r="B755" s="38" t="str">
        <f>"118216"</f>
        <v>118216</v>
      </c>
      <c r="C755" s="38" t="s">
        <v>2568</v>
      </c>
      <c r="D755" s="45">
        <v>219</v>
      </c>
      <c r="E755" s="45">
        <v>0</v>
      </c>
      <c r="F755" s="45">
        <f>'NonPublic Enrollment'!$E755*0.1</f>
        <v>0</v>
      </c>
      <c r="G755" s="45">
        <v>0</v>
      </c>
      <c r="H755" s="45">
        <f>'NonPublic Enrollment'!$G755*0.7374</f>
        <v>0</v>
      </c>
      <c r="I755" s="45">
        <v>0</v>
      </c>
      <c r="J755" s="45">
        <f>'NonPublic Enrollment'!$I755*0.2906</f>
        <v>0</v>
      </c>
      <c r="K755" s="45">
        <f>'NonPublic Enrollment'!$D755+'NonPublic Enrollment'!$F755+'NonPublic Enrollment'!$H755+'NonPublic Enrollment'!$J755</f>
        <v>219</v>
      </c>
      <c r="L755" s="39" t="s">
        <v>2562</v>
      </c>
    </row>
    <row r="756" spans="1:12">
      <c r="A756" s="36" t="s">
        <v>2561</v>
      </c>
      <c r="B756" s="36" t="str">
        <f>"122473"</f>
        <v>122473</v>
      </c>
      <c r="C756" s="36" t="s">
        <v>2567</v>
      </c>
      <c r="D756" s="44">
        <v>114</v>
      </c>
      <c r="E756" s="44">
        <v>0</v>
      </c>
      <c r="F756" s="44">
        <f>'NonPublic Enrollment'!$E756*0.1</f>
        <v>0</v>
      </c>
      <c r="G756" s="44">
        <v>0</v>
      </c>
      <c r="H756" s="44">
        <f>'NonPublic Enrollment'!$G756*0.7374</f>
        <v>0</v>
      </c>
      <c r="I756" s="44">
        <v>0</v>
      </c>
      <c r="J756" s="44">
        <f>'NonPublic Enrollment'!$I756*0.2906</f>
        <v>0</v>
      </c>
      <c r="K756" s="44">
        <f>'NonPublic Enrollment'!$D756+'NonPublic Enrollment'!$F756+'NonPublic Enrollment'!$H756+'NonPublic Enrollment'!$J756</f>
        <v>114</v>
      </c>
      <c r="L756" s="37" t="s">
        <v>2562</v>
      </c>
    </row>
    <row r="757" spans="1:12">
      <c r="A757" s="38" t="s">
        <v>2561</v>
      </c>
      <c r="B757" s="38" t="str">
        <f>"122697"</f>
        <v>122697</v>
      </c>
      <c r="C757" s="38" t="s">
        <v>2566</v>
      </c>
      <c r="D757" s="45">
        <v>388</v>
      </c>
      <c r="E757" s="45">
        <v>0</v>
      </c>
      <c r="F757" s="45">
        <f>'NonPublic Enrollment'!$E757*0.1</f>
        <v>0</v>
      </c>
      <c r="G757" s="45">
        <v>0</v>
      </c>
      <c r="H757" s="45">
        <f>'NonPublic Enrollment'!$G757*0.7374</f>
        <v>0</v>
      </c>
      <c r="I757" s="45">
        <v>0</v>
      </c>
      <c r="J757" s="45">
        <f>'NonPublic Enrollment'!$I757*0.2906</f>
        <v>0</v>
      </c>
      <c r="K757" s="45">
        <f>'NonPublic Enrollment'!$D757+'NonPublic Enrollment'!$F757+'NonPublic Enrollment'!$H757+'NonPublic Enrollment'!$J757</f>
        <v>388</v>
      </c>
      <c r="L757" s="39" t="s">
        <v>2562</v>
      </c>
    </row>
    <row r="758" spans="1:12">
      <c r="A758" s="36" t="s">
        <v>2561</v>
      </c>
      <c r="B758" s="36" t="str">
        <f>"132662"</f>
        <v>132662</v>
      </c>
      <c r="C758" s="36" t="s">
        <v>2565</v>
      </c>
      <c r="D758" s="44">
        <v>21</v>
      </c>
      <c r="E758" s="44">
        <v>0</v>
      </c>
      <c r="F758" s="44">
        <f>'NonPublic Enrollment'!$E758*0.1</f>
        <v>0</v>
      </c>
      <c r="G758" s="44">
        <v>0</v>
      </c>
      <c r="H758" s="44">
        <f>'NonPublic Enrollment'!$G758*0.7374</f>
        <v>0</v>
      </c>
      <c r="I758" s="44">
        <v>0</v>
      </c>
      <c r="J758" s="44">
        <f>'NonPublic Enrollment'!$I758*0.2906</f>
        <v>0</v>
      </c>
      <c r="K758" s="44">
        <f>'NonPublic Enrollment'!$D758+'NonPublic Enrollment'!$F758+'NonPublic Enrollment'!$H758+'NonPublic Enrollment'!$J758</f>
        <v>21</v>
      </c>
      <c r="L758" s="37" t="s">
        <v>2562</v>
      </c>
    </row>
    <row r="759" spans="1:12">
      <c r="A759" s="38" t="s">
        <v>2561</v>
      </c>
      <c r="B759" s="38" t="str">
        <f>"132696"</f>
        <v>132696</v>
      </c>
      <c r="C759" s="38" t="s">
        <v>2564</v>
      </c>
      <c r="D759" s="45">
        <v>61</v>
      </c>
      <c r="E759" s="45">
        <v>0</v>
      </c>
      <c r="F759" s="45">
        <f>'NonPublic Enrollment'!$E759*0.1</f>
        <v>0</v>
      </c>
      <c r="G759" s="45">
        <v>0</v>
      </c>
      <c r="H759" s="45">
        <f>'NonPublic Enrollment'!$G759*0.7374</f>
        <v>0</v>
      </c>
      <c r="I759" s="45">
        <v>0</v>
      </c>
      <c r="J759" s="45">
        <f>'NonPublic Enrollment'!$I759*0.2906</f>
        <v>0</v>
      </c>
      <c r="K759" s="45">
        <f>'NonPublic Enrollment'!$D759+'NonPublic Enrollment'!$F759+'NonPublic Enrollment'!$H759+'NonPublic Enrollment'!$J759</f>
        <v>61</v>
      </c>
      <c r="L759" s="39" t="s">
        <v>2562</v>
      </c>
    </row>
    <row r="760" spans="1:12">
      <c r="A760" s="36" t="s">
        <v>2561</v>
      </c>
      <c r="B760" s="36" t="str">
        <f>"133090"</f>
        <v>133090</v>
      </c>
      <c r="C760" s="36" t="s">
        <v>2563</v>
      </c>
      <c r="D760" s="44">
        <v>11</v>
      </c>
      <c r="E760" s="44">
        <v>0</v>
      </c>
      <c r="F760" s="44">
        <f>'NonPublic Enrollment'!$E760*0.1</f>
        <v>0</v>
      </c>
      <c r="G760" s="44">
        <v>0</v>
      </c>
      <c r="H760" s="44">
        <f>'NonPublic Enrollment'!$G760*0.7374</f>
        <v>0</v>
      </c>
      <c r="I760" s="44">
        <v>0</v>
      </c>
      <c r="J760" s="44">
        <f>'NonPublic Enrollment'!$I760*0.2906</f>
        <v>0</v>
      </c>
      <c r="K760" s="44">
        <f>'NonPublic Enrollment'!$D760+'NonPublic Enrollment'!$F760+'NonPublic Enrollment'!$H760+'NonPublic Enrollment'!$J760</f>
        <v>11</v>
      </c>
      <c r="L760" s="37" t="s">
        <v>2562</v>
      </c>
    </row>
    <row r="761" spans="1:12" ht="16" thickBot="1">
      <c r="A761" s="38" t="s">
        <v>2561</v>
      </c>
      <c r="B761" s="38" t="str">
        <f>"143032"</f>
        <v>143032</v>
      </c>
      <c r="C761" s="38" t="s">
        <v>2560</v>
      </c>
      <c r="D761" s="45">
        <v>17</v>
      </c>
      <c r="E761" s="45">
        <v>0</v>
      </c>
      <c r="F761" s="45">
        <f>'NonPublic Enrollment'!$E761*0.1</f>
        <v>0</v>
      </c>
      <c r="G761" s="45">
        <v>0</v>
      </c>
      <c r="H761" s="45">
        <f>'NonPublic Enrollment'!$G761*0.7374</f>
        <v>0</v>
      </c>
      <c r="I761" s="45">
        <v>0</v>
      </c>
      <c r="J761" s="45">
        <f>'NonPublic Enrollment'!$I761*0.2906</f>
        <v>0</v>
      </c>
      <c r="K761" s="45">
        <f>'NonPublic Enrollment'!$D761+'NonPublic Enrollment'!$F761+'NonPublic Enrollment'!$H761+'NonPublic Enrollment'!$J761</f>
        <v>17</v>
      </c>
      <c r="L761" s="39" t="s">
        <v>2559</v>
      </c>
    </row>
    <row r="762" spans="1:12" ht="16" thickTop="1">
      <c r="A762" s="40"/>
      <c r="B762" s="40"/>
      <c r="C762" s="40"/>
      <c r="D762" s="46"/>
      <c r="E762" s="46"/>
      <c r="F762" s="46"/>
      <c r="G762" s="46"/>
      <c r="H762" s="46"/>
      <c r="I762" s="46"/>
      <c r="J762" s="46"/>
      <c r="K762" s="46"/>
      <c r="L762" s="41"/>
    </row>
    <row r="763" spans="1:12">
      <c r="D763" s="47"/>
      <c r="E763" s="47"/>
      <c r="F763" s="47"/>
      <c r="G763" s="47"/>
      <c r="H763" s="47"/>
      <c r="I763" s="47"/>
      <c r="J763" s="47"/>
      <c r="K763" s="47"/>
    </row>
  </sheetData>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Notes and Methodology</vt:lpstr>
      <vt:lpstr>Summary of Distribution</vt:lpstr>
      <vt:lpstr>Distribution Detail</vt:lpstr>
      <vt:lpstr>Revised Transportation</vt:lpstr>
      <vt:lpstr>CBDD Enrollment</vt:lpstr>
      <vt:lpstr>New CS and Island</vt:lpstr>
      <vt:lpstr>NonPublic Enrollment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Microsoft Office User</cp:lastModifiedBy>
  <dcterms:created xsi:type="dcterms:W3CDTF">2014-01-23T15:50:15Z</dcterms:created>
  <dcterms:modified xsi:type="dcterms:W3CDTF">2020-07-15T19:09:56Z</dcterms:modified>
</cp:coreProperties>
</file>